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edzabala.sharepoint.com/sites/team/Shared Documents/Projects/2023/23044 (50-0045303) Hydrite Chemical (La Crosse, WI)/02 design/01 references/02 hazards/"/>
    </mc:Choice>
  </mc:AlternateContent>
  <xr:revisionPtr revIDLastSave="28" documentId="13_ncr:1_{A493A5A7-B3E0-4D86-A29E-0A09B585BEC8}" xr6:coauthVersionLast="47" xr6:coauthVersionMax="47" xr10:uidLastSave="{C1EF10A3-7EC9-442B-BBA0-F0F05D9195AC}"/>
  <bookViews>
    <workbookView xWindow="28680" yWindow="-120" windowWidth="29040" windowHeight="15840" activeTab="1" xr2:uid="{00000000-000D-0000-FFFF-FFFF00000000}"/>
  </bookViews>
  <sheets>
    <sheet name="Version" sheetId="24" r:id="rId1"/>
    <sheet name="ENV|In" sheetId="2" r:id="rId2"/>
    <sheet name="ENV|In (Ch.13)" sheetId="25" r:id="rId3"/>
    <sheet name="ENV|out|DC" sheetId="8" r:id="rId4"/>
    <sheet name="Loads-Gravity" sheetId="7" r:id="rId5"/>
    <sheet name="I|Wind" sheetId="5" r:id="rId6"/>
    <sheet name="Env|In (Sec.29.5)" sheetId="26" r:id="rId7"/>
    <sheet name="Gangway" sheetId="27" r:id="rId8"/>
    <sheet name="Codes" sheetId="16" r:id="rId9"/>
    <sheet name="Interpolate" sheetId="9" r:id="rId10"/>
  </sheets>
  <definedNames>
    <definedName name="_xlnm._FilterDatabase" localSheetId="1" hidden="1">'ENV|In'!$D$98:$D$101</definedName>
    <definedName name="_xlnm._FilterDatabase" localSheetId="2" hidden="1">'ENV|In (Ch.13)'!#REF!</definedName>
    <definedName name="_xlnm.Print_Area" localSheetId="2">'ENV|In (Ch.13)'!$A$1:$K$46</definedName>
    <definedName name="_xlnm.Print_Area" localSheetId="7">Gangway!$B$1:$K$46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25" l="1"/>
  <c r="N4" i="2" l="1"/>
  <c r="D2" i="25" s="1"/>
  <c r="N3" i="2"/>
  <c r="D13" i="25"/>
  <c r="D15" i="25"/>
  <c r="D14" i="25"/>
  <c r="I101" i="2" l="1"/>
  <c r="I98" i="2"/>
  <c r="F101" i="2"/>
  <c r="E99" i="2"/>
  <c r="F99" i="2" s="1"/>
  <c r="E100" i="2"/>
  <c r="F100" i="2" s="1"/>
  <c r="E101" i="2"/>
  <c r="E98" i="2"/>
  <c r="F98" i="2" s="1"/>
  <c r="I100" i="2" l="1"/>
  <c r="I99" i="2"/>
  <c r="Q11" i="2" l="1"/>
  <c r="Q9" i="2"/>
  <c r="M8" i="2"/>
  <c r="M16" i="2"/>
  <c r="C130" i="5" s="1"/>
  <c r="C17" i="2"/>
  <c r="M17" i="2" s="1"/>
  <c r="C131" i="5" s="1"/>
  <c r="M13" i="2"/>
  <c r="M14" i="2"/>
  <c r="M15" i="2"/>
  <c r="M37" i="2"/>
  <c r="M12" i="2"/>
  <c r="B127" i="5" s="1"/>
  <c r="M11" i="2"/>
  <c r="D117" i="5" s="1"/>
  <c r="M10" i="2"/>
  <c r="E96" i="5" s="1"/>
  <c r="M9" i="2"/>
  <c r="C96" i="5" s="1"/>
  <c r="R11" i="2"/>
  <c r="R8" i="2"/>
  <c r="Q10" i="2"/>
  <c r="Q8" i="2"/>
  <c r="D116" i="5" l="1"/>
  <c r="O25" i="8"/>
  <c r="M18" i="2"/>
  <c r="D115" i="5"/>
  <c r="D118" i="5"/>
  <c r="M21" i="8" l="1"/>
  <c r="E11" i="8" l="1"/>
  <c r="E10" i="8"/>
  <c r="E8" i="8"/>
  <c r="E7" i="8"/>
  <c r="E6" i="8"/>
  <c r="E5" i="8"/>
  <c r="C89" i="2"/>
  <c r="C88" i="2"/>
  <c r="AF25" i="2" l="1"/>
  <c r="AG25" i="2" s="1"/>
  <c r="M33" i="2" s="1"/>
  <c r="V138" i="2"/>
  <c r="N114" i="2"/>
  <c r="O114" i="2"/>
  <c r="P114" i="2"/>
  <c r="N115" i="2"/>
  <c r="O115" i="2"/>
  <c r="P115" i="2"/>
  <c r="N116" i="2"/>
  <c r="O116" i="2"/>
  <c r="P116" i="2"/>
  <c r="N117" i="2"/>
  <c r="O117" i="2"/>
  <c r="P117" i="2"/>
  <c r="M115" i="2"/>
  <c r="M116" i="2"/>
  <c r="M117" i="2"/>
  <c r="M114" i="2"/>
  <c r="S117" i="2" l="1"/>
  <c r="Q117" i="2"/>
  <c r="R117" i="2"/>
  <c r="R116" i="2"/>
  <c r="Q116" i="2"/>
  <c r="S116" i="2"/>
  <c r="R115" i="2"/>
  <c r="Q115" i="2"/>
  <c r="S115" i="2"/>
  <c r="S114" i="2"/>
  <c r="R114" i="2"/>
  <c r="Q114" i="2"/>
  <c r="AH25" i="2"/>
  <c r="M34" i="2" s="1"/>
  <c r="AK25" i="2"/>
  <c r="P33" i="2" s="1"/>
  <c r="AL25" i="2"/>
  <c r="E25" i="2" s="1"/>
  <c r="E19" i="8" s="1"/>
  <c r="AI25" i="2"/>
  <c r="M35" i="2" s="1"/>
  <c r="AJ25" i="2"/>
  <c r="O33" i="2" s="1"/>
  <c r="O35" i="2" l="1"/>
  <c r="O34" i="2"/>
  <c r="C98" i="5" l="1"/>
  <c r="C97" i="5"/>
  <c r="C30" i="27"/>
  <c r="D15" i="27"/>
  <c r="P7" i="27"/>
  <c r="Q7" i="27" s="1"/>
  <c r="D16" i="27"/>
  <c r="B27" i="27"/>
  <c r="B28" i="27"/>
  <c r="B29" i="27"/>
  <c r="B30" i="27"/>
  <c r="B31" i="27"/>
  <c r="B32" i="27"/>
  <c r="B26" i="27"/>
  <c r="B13" i="27"/>
  <c r="B12" i="27"/>
  <c r="D24" i="27"/>
  <c r="E24" i="27"/>
  <c r="F24" i="27"/>
  <c r="G24" i="27"/>
  <c r="H24" i="27"/>
  <c r="D25" i="27"/>
  <c r="E25" i="27"/>
  <c r="F25" i="27"/>
  <c r="G25" i="27"/>
  <c r="H25" i="27"/>
  <c r="D26" i="27"/>
  <c r="E26" i="27"/>
  <c r="H26" i="27"/>
  <c r="D27" i="27"/>
  <c r="H27" i="27"/>
  <c r="D28" i="27"/>
  <c r="H28" i="27"/>
  <c r="D29" i="27"/>
  <c r="E29" i="27"/>
  <c r="F29" i="27"/>
  <c r="G29" i="27"/>
  <c r="E30" i="27"/>
  <c r="F30" i="27"/>
  <c r="G30" i="27"/>
  <c r="D31" i="27"/>
  <c r="F31" i="27"/>
  <c r="G31" i="27"/>
  <c r="E32" i="27"/>
  <c r="F32" i="27"/>
  <c r="G32" i="27"/>
  <c r="C25" i="27"/>
  <c r="C26" i="27"/>
  <c r="C27" i="27"/>
  <c r="C28" i="27"/>
  <c r="C24" i="27"/>
  <c r="B23" i="27"/>
  <c r="S20" i="27"/>
  <c r="S21" i="27"/>
  <c r="S22" i="27"/>
  <c r="S23" i="27"/>
  <c r="P18" i="27"/>
  <c r="P19" i="27"/>
  <c r="P21" i="27"/>
  <c r="P23" i="27"/>
  <c r="P17" i="27"/>
  <c r="N18" i="27"/>
  <c r="N19" i="27"/>
  <c r="N20" i="27"/>
  <c r="N22" i="27"/>
  <c r="N17" i="27"/>
  <c r="Q20" i="27"/>
  <c r="Q21" i="27"/>
  <c r="Q22" i="27"/>
  <c r="Q23" i="27"/>
  <c r="R18" i="27"/>
  <c r="R19" i="27"/>
  <c r="R17" i="27"/>
  <c r="O20" i="27"/>
  <c r="O21" i="27"/>
  <c r="O22" i="27"/>
  <c r="O23" i="27"/>
  <c r="O17" i="27"/>
  <c r="P6" i="27"/>
  <c r="R6" i="27" s="1"/>
  <c r="E27" i="27"/>
  <c r="O18" i="27"/>
  <c r="M75" i="2"/>
  <c r="E29" i="8" s="1"/>
  <c r="D8" i="26"/>
  <c r="M134" i="2"/>
  <c r="M133" i="2"/>
  <c r="M132" i="2"/>
  <c r="E43" i="8" s="1"/>
  <c r="M131" i="2"/>
  <c r="M130" i="2"/>
  <c r="P130" i="2" s="1"/>
  <c r="M111" i="2"/>
  <c r="E41" i="8" s="1"/>
  <c r="M110" i="2"/>
  <c r="E40" i="8" s="1"/>
  <c r="M98" i="2"/>
  <c r="E38" i="8" s="1"/>
  <c r="M96" i="2"/>
  <c r="M92" i="2"/>
  <c r="E36" i="8" s="1"/>
  <c r="M90" i="2"/>
  <c r="V145" i="2" s="1"/>
  <c r="Z145" i="2" s="1"/>
  <c r="M88" i="2"/>
  <c r="Z150" i="2" s="1"/>
  <c r="AC150" i="2" s="1"/>
  <c r="M87" i="2"/>
  <c r="V159" i="2" s="1"/>
  <c r="X159" i="2" s="1"/>
  <c r="M79" i="2"/>
  <c r="E32" i="8" s="1"/>
  <c r="M76" i="2"/>
  <c r="V2" i="5" s="1"/>
  <c r="M74" i="2"/>
  <c r="G50" i="5" s="1"/>
  <c r="M50" i="5" s="1"/>
  <c r="D15" i="26" s="1"/>
  <c r="D61" i="26" s="1"/>
  <c r="M73" i="2"/>
  <c r="E30" i="8" s="1"/>
  <c r="M71" i="2"/>
  <c r="M70" i="2"/>
  <c r="M69" i="2"/>
  <c r="M68" i="2"/>
  <c r="M66" i="2"/>
  <c r="M54" i="2"/>
  <c r="M53" i="2"/>
  <c r="M49" i="2"/>
  <c r="V112" i="2" s="1"/>
  <c r="M47" i="2"/>
  <c r="M44" i="2"/>
  <c r="M36" i="2"/>
  <c r="V53" i="2" s="1"/>
  <c r="AB53" i="2" s="1"/>
  <c r="M39" i="2" s="1"/>
  <c r="E20" i="8"/>
  <c r="M26" i="2"/>
  <c r="AC20" i="2" s="1"/>
  <c r="M25" i="2"/>
  <c r="E15" i="8" s="1"/>
  <c r="M24" i="2"/>
  <c r="V13" i="2" s="1"/>
  <c r="AB13" i="2" s="1"/>
  <c r="M22" i="2"/>
  <c r="E3" i="8" s="1"/>
  <c r="D4" i="27"/>
  <c r="D3" i="27"/>
  <c r="C47" i="2"/>
  <c r="C46" i="2"/>
  <c r="F106" i="2"/>
  <c r="F11" i="25"/>
  <c r="L7" i="25"/>
  <c r="M7" i="25" s="1"/>
  <c r="G9" i="25" s="1"/>
  <c r="F10" i="25"/>
  <c r="L126" i="2"/>
  <c r="L125" i="2"/>
  <c r="L124" i="2"/>
  <c r="L106" i="2"/>
  <c r="L105" i="2"/>
  <c r="L104" i="2"/>
  <c r="E14" i="9"/>
  <c r="B14" i="9"/>
  <c r="H35" i="7"/>
  <c r="E35" i="7"/>
  <c r="E23" i="7"/>
  <c r="H11" i="7"/>
  <c r="E10" i="7"/>
  <c r="E9" i="7"/>
  <c r="E8" i="7"/>
  <c r="E7" i="7"/>
  <c r="E6" i="7"/>
  <c r="E5" i="7"/>
  <c r="E4" i="7"/>
  <c r="E3" i="7"/>
  <c r="E48" i="7"/>
  <c r="E47" i="7"/>
  <c r="E46" i="7"/>
  <c r="E45" i="7"/>
  <c r="E11" i="7"/>
  <c r="U65" i="5"/>
  <c r="V54" i="5"/>
  <c r="V53" i="5"/>
  <c r="Z66" i="5"/>
  <c r="C73" i="5"/>
  <c r="L73" i="5"/>
  <c r="C38" i="26" s="1"/>
  <c r="C84" i="26" s="1"/>
  <c r="C72" i="5"/>
  <c r="L72" i="5" s="1"/>
  <c r="C37" i="26" s="1"/>
  <c r="C83" i="26" s="1"/>
  <c r="C71" i="5"/>
  <c r="L71" i="5" s="1"/>
  <c r="C36" i="26" s="1"/>
  <c r="C82" i="26" s="1"/>
  <c r="C70" i="5"/>
  <c r="L70" i="5"/>
  <c r="C35" i="26" s="1"/>
  <c r="C81" i="26" s="1"/>
  <c r="C69" i="5"/>
  <c r="L69" i="5"/>
  <c r="C34" i="26" s="1"/>
  <c r="C80" i="26" s="1"/>
  <c r="C68" i="5"/>
  <c r="L68" i="5" s="1"/>
  <c r="C33" i="26" s="1"/>
  <c r="C79" i="26" s="1"/>
  <c r="C67" i="5"/>
  <c r="C66" i="5"/>
  <c r="L66" i="5"/>
  <c r="C31" i="26" s="1"/>
  <c r="C77" i="26" s="1"/>
  <c r="C65" i="5"/>
  <c r="L65" i="5" s="1"/>
  <c r="C30" i="26" s="1"/>
  <c r="C76" i="26" s="1"/>
  <c r="C64" i="5"/>
  <c r="L64" i="5"/>
  <c r="C29" i="26" s="1"/>
  <c r="C75" i="26" s="1"/>
  <c r="C63" i="5"/>
  <c r="L63" i="5"/>
  <c r="C28" i="26" s="1"/>
  <c r="C74" i="26" s="1"/>
  <c r="C62" i="5"/>
  <c r="L62" i="5"/>
  <c r="C27" i="26" s="1"/>
  <c r="C73" i="26" s="1"/>
  <c r="C61" i="5"/>
  <c r="L61" i="5" s="1"/>
  <c r="C26" i="26" s="1"/>
  <c r="C72" i="26" s="1"/>
  <c r="C60" i="5"/>
  <c r="L60" i="5"/>
  <c r="C25" i="26" s="1"/>
  <c r="C71" i="26" s="1"/>
  <c r="C59" i="5"/>
  <c r="C58" i="5"/>
  <c r="L58" i="5" s="1"/>
  <c r="C23" i="26" s="1"/>
  <c r="C69" i="26" s="1"/>
  <c r="C57" i="5"/>
  <c r="L57" i="5"/>
  <c r="C22" i="26" s="1"/>
  <c r="C68" i="26" s="1"/>
  <c r="C56" i="5"/>
  <c r="L56" i="5"/>
  <c r="C21" i="26" s="1"/>
  <c r="C67" i="26" s="1"/>
  <c r="C55" i="5"/>
  <c r="L55" i="5" s="1"/>
  <c r="C20" i="26" s="1"/>
  <c r="C66" i="26" s="1"/>
  <c r="C54" i="5"/>
  <c r="L54" i="5" s="1"/>
  <c r="C19" i="26" s="1"/>
  <c r="C65" i="26" s="1"/>
  <c r="C53" i="5"/>
  <c r="L53" i="5"/>
  <c r="C18" i="26" s="1"/>
  <c r="C64" i="26" s="1"/>
  <c r="C52" i="5"/>
  <c r="L52" i="5"/>
  <c r="C17" i="26" s="1"/>
  <c r="C63" i="26" s="1"/>
  <c r="C51" i="5"/>
  <c r="L51" i="5" s="1"/>
  <c r="C16" i="26" s="1"/>
  <c r="C62" i="26" s="1"/>
  <c r="K73" i="5"/>
  <c r="B38" i="26" s="1"/>
  <c r="B84" i="26" s="1"/>
  <c r="K72" i="5"/>
  <c r="B37" i="26" s="1"/>
  <c r="B83" i="26" s="1"/>
  <c r="K71" i="5"/>
  <c r="B36" i="26" s="1"/>
  <c r="B82" i="26" s="1"/>
  <c r="K70" i="5"/>
  <c r="B35" i="26" s="1"/>
  <c r="B81" i="26" s="1"/>
  <c r="K69" i="5"/>
  <c r="B34" i="26" s="1"/>
  <c r="B80" i="26" s="1"/>
  <c r="K68" i="5"/>
  <c r="B33" i="26" s="1"/>
  <c r="B79" i="26" s="1"/>
  <c r="L67" i="5"/>
  <c r="C32" i="26" s="1"/>
  <c r="C78" i="26" s="1"/>
  <c r="K67" i="5"/>
  <c r="B32" i="26" s="1"/>
  <c r="B78" i="26" s="1"/>
  <c r="K66" i="5"/>
  <c r="B31" i="26" s="1"/>
  <c r="B77" i="26" s="1"/>
  <c r="K65" i="5"/>
  <c r="B30" i="26" s="1"/>
  <c r="B76" i="26" s="1"/>
  <c r="K64" i="5"/>
  <c r="B29" i="26" s="1"/>
  <c r="B75" i="26" s="1"/>
  <c r="K63" i="5"/>
  <c r="B28" i="26" s="1"/>
  <c r="B74" i="26" s="1"/>
  <c r="K62" i="5"/>
  <c r="B27" i="26" s="1"/>
  <c r="B73" i="26" s="1"/>
  <c r="K61" i="5"/>
  <c r="B26" i="26" s="1"/>
  <c r="B72" i="26" s="1"/>
  <c r="K60" i="5"/>
  <c r="B25" i="26" s="1"/>
  <c r="B71" i="26" s="1"/>
  <c r="L59" i="5"/>
  <c r="C24" i="26" s="1"/>
  <c r="C70" i="26" s="1"/>
  <c r="K59" i="5"/>
  <c r="B24" i="26" s="1"/>
  <c r="B70" i="26" s="1"/>
  <c r="K58" i="5"/>
  <c r="B23" i="26" s="1"/>
  <c r="B69" i="26" s="1"/>
  <c r="K57" i="5"/>
  <c r="B22" i="26" s="1"/>
  <c r="B68" i="26" s="1"/>
  <c r="K56" i="5"/>
  <c r="B21" i="26" s="1"/>
  <c r="B67" i="26" s="1"/>
  <c r="K55" i="5"/>
  <c r="B20" i="26" s="1"/>
  <c r="B66" i="26" s="1"/>
  <c r="K54" i="5"/>
  <c r="B19" i="26" s="1"/>
  <c r="B65" i="26" s="1"/>
  <c r="K53" i="5"/>
  <c r="B18" i="26" s="1"/>
  <c r="B64" i="26" s="1"/>
  <c r="K52" i="5"/>
  <c r="B17" i="26" s="1"/>
  <c r="B63" i="26" s="1"/>
  <c r="K51" i="5"/>
  <c r="B16" i="26" s="1"/>
  <c r="B62" i="26" s="1"/>
  <c r="V52" i="5"/>
  <c r="L61" i="2"/>
  <c r="L62" i="2"/>
  <c r="L60" i="2"/>
  <c r="K6" i="5"/>
  <c r="K7" i="5"/>
  <c r="K8" i="5"/>
  <c r="K9" i="5"/>
  <c r="K10" i="5"/>
  <c r="K11" i="5"/>
  <c r="K12" i="5"/>
  <c r="K13" i="5"/>
  <c r="K14" i="5"/>
  <c r="K15" i="5"/>
  <c r="K16" i="5"/>
  <c r="K17" i="5"/>
  <c r="K18" i="5"/>
  <c r="K19" i="5"/>
  <c r="K20" i="5"/>
  <c r="K21" i="5"/>
  <c r="K22" i="5"/>
  <c r="K23" i="5"/>
  <c r="K24" i="5"/>
  <c r="K25" i="5"/>
  <c r="K26" i="5"/>
  <c r="K27" i="5"/>
  <c r="K5" i="5"/>
  <c r="V6" i="5"/>
  <c r="U21" i="5" s="1"/>
  <c r="V7" i="5"/>
  <c r="C27" i="5"/>
  <c r="L27" i="5" s="1"/>
  <c r="C26" i="5"/>
  <c r="L26" i="5"/>
  <c r="C25" i="5"/>
  <c r="L25" i="5"/>
  <c r="C24" i="5"/>
  <c r="L24" i="5"/>
  <c r="C23" i="5"/>
  <c r="L23" i="5" s="1"/>
  <c r="C22" i="5"/>
  <c r="L22" i="5"/>
  <c r="C21" i="5"/>
  <c r="L21" i="5"/>
  <c r="C20" i="5"/>
  <c r="L20" i="5"/>
  <c r="C19" i="5"/>
  <c r="L19" i="5" s="1"/>
  <c r="C18" i="5"/>
  <c r="L18" i="5"/>
  <c r="C17" i="5"/>
  <c r="L17" i="5"/>
  <c r="C16" i="5"/>
  <c r="L16" i="5"/>
  <c r="C15" i="5"/>
  <c r="L15" i="5" s="1"/>
  <c r="C14" i="5"/>
  <c r="L14" i="5"/>
  <c r="C13" i="5"/>
  <c r="L13" i="5"/>
  <c r="C12" i="5"/>
  <c r="L12" i="5"/>
  <c r="C11" i="5"/>
  <c r="L11" i="5" s="1"/>
  <c r="C10" i="5"/>
  <c r="L10" i="5"/>
  <c r="C9" i="5"/>
  <c r="L9" i="5"/>
  <c r="C8" i="5"/>
  <c r="L8" i="5"/>
  <c r="C7" i="5"/>
  <c r="L7" i="5" s="1"/>
  <c r="C6" i="5"/>
  <c r="L6" i="5"/>
  <c r="C5" i="5"/>
  <c r="L5" i="5"/>
  <c r="G4" i="5"/>
  <c r="G66" i="5" s="1"/>
  <c r="AA65" i="5"/>
  <c r="Z65" i="5"/>
  <c r="Y65" i="5"/>
  <c r="U20" i="5"/>
  <c r="AH20" i="5" s="1"/>
  <c r="Y66" i="5"/>
  <c r="Z68" i="5"/>
  <c r="D9" i="26" s="1"/>
  <c r="AB20" i="5"/>
  <c r="AA20" i="5"/>
  <c r="AJ20" i="5" s="1"/>
  <c r="AF20" i="5"/>
  <c r="V20" i="5"/>
  <c r="AD20" i="5"/>
  <c r="Z20" i="5"/>
  <c r="AI20" i="5" s="1"/>
  <c r="P70" i="5"/>
  <c r="P55" i="5"/>
  <c r="P68" i="5"/>
  <c r="P72" i="5"/>
  <c r="P51" i="5"/>
  <c r="P59" i="5"/>
  <c r="P54" i="5"/>
  <c r="P58" i="5"/>
  <c r="P71" i="5"/>
  <c r="P64" i="5"/>
  <c r="P61" i="5"/>
  <c r="P69" i="5"/>
  <c r="X138" i="2"/>
  <c r="C32" i="27"/>
  <c r="E31" i="27"/>
  <c r="D4" i="26" l="1"/>
  <c r="D50" i="26" s="1"/>
  <c r="M106" i="2"/>
  <c r="M61" i="2"/>
  <c r="E23" i="8"/>
  <c r="D119" i="5"/>
  <c r="AC6" i="2"/>
  <c r="AA14" i="2" s="1"/>
  <c r="AA15" i="2" s="1"/>
  <c r="E14" i="8"/>
  <c r="M105" i="2"/>
  <c r="V27" i="2"/>
  <c r="W27" i="2" s="1"/>
  <c r="D3" i="26"/>
  <c r="D49" i="26" s="1"/>
  <c r="D114" i="5"/>
  <c r="E28" i="8"/>
  <c r="M91" i="2"/>
  <c r="AA144" i="2" s="1"/>
  <c r="M104" i="2"/>
  <c r="V39" i="2"/>
  <c r="Z39" i="2" s="1"/>
  <c r="M23" i="2" s="1"/>
  <c r="E13" i="8" s="1"/>
  <c r="AA13" i="2"/>
  <c r="Y13" i="2"/>
  <c r="Z13" i="2"/>
  <c r="AC56" i="2"/>
  <c r="AC66" i="2" s="1"/>
  <c r="AC65" i="2"/>
  <c r="AA71" i="2" s="1"/>
  <c r="V118" i="2"/>
  <c r="W118" i="2" s="1"/>
  <c r="M50" i="2" s="1"/>
  <c r="X112" i="2"/>
  <c r="X113" i="2" s="1"/>
  <c r="Y112" i="2"/>
  <c r="Y113" i="2" s="1"/>
  <c r="D2" i="27"/>
  <c r="Z98" i="2"/>
  <c r="D2" i="26"/>
  <c r="D48" i="26" s="1"/>
  <c r="M60" i="2"/>
  <c r="M124" i="2"/>
  <c r="W138" i="2"/>
  <c r="G24" i="5"/>
  <c r="H24" i="5" s="1"/>
  <c r="N24" i="5" s="1"/>
  <c r="G14" i="5"/>
  <c r="M14" i="5" s="1"/>
  <c r="G60" i="5"/>
  <c r="M60" i="5" s="1"/>
  <c r="D25" i="26" s="1"/>
  <c r="D71" i="26" s="1"/>
  <c r="E71" i="26" s="1"/>
  <c r="G20" i="5"/>
  <c r="M20" i="5" s="1"/>
  <c r="G55" i="5"/>
  <c r="M55" i="5" s="1"/>
  <c r="D20" i="26" s="1"/>
  <c r="E20" i="26" s="1"/>
  <c r="G27" i="5"/>
  <c r="M27" i="5" s="1"/>
  <c r="G10" i="5"/>
  <c r="M10" i="5" s="1"/>
  <c r="G62" i="5"/>
  <c r="M62" i="5" s="1"/>
  <c r="D27" i="26" s="1"/>
  <c r="D73" i="26" s="1"/>
  <c r="E73" i="26" s="1"/>
  <c r="G53" i="5"/>
  <c r="G70" i="5"/>
  <c r="H70" i="5" s="1"/>
  <c r="N70" i="5" s="1"/>
  <c r="O70" i="5" s="1"/>
  <c r="G6" i="5"/>
  <c r="M6" i="5" s="1"/>
  <c r="G57" i="5"/>
  <c r="G67" i="5"/>
  <c r="M67" i="5" s="1"/>
  <c r="D32" i="26" s="1"/>
  <c r="E32" i="26" s="1"/>
  <c r="G25" i="5"/>
  <c r="M25" i="5" s="1"/>
  <c r="G54" i="5"/>
  <c r="M54" i="5" s="1"/>
  <c r="D19" i="26" s="1"/>
  <c r="D65" i="26" s="1"/>
  <c r="E65" i="26" s="1"/>
  <c r="G64" i="5"/>
  <c r="M64" i="5" s="1"/>
  <c r="D29" i="26" s="1"/>
  <c r="G61" i="5"/>
  <c r="M61" i="5" s="1"/>
  <c r="D26" i="26" s="1"/>
  <c r="D72" i="26" s="1"/>
  <c r="E72" i="26" s="1"/>
  <c r="G15" i="5"/>
  <c r="G9" i="5"/>
  <c r="M9" i="5" s="1"/>
  <c r="G68" i="5"/>
  <c r="M68" i="5" s="1"/>
  <c r="D33" i="26" s="1"/>
  <c r="E33" i="26" s="1"/>
  <c r="G5" i="5"/>
  <c r="M5" i="5" s="1"/>
  <c r="G7" i="5"/>
  <c r="H7" i="5" s="1"/>
  <c r="N7" i="5" s="1"/>
  <c r="G22" i="5"/>
  <c r="H22" i="5" s="1"/>
  <c r="N22" i="5" s="1"/>
  <c r="G63" i="5"/>
  <c r="M63" i="5" s="1"/>
  <c r="D28" i="26" s="1"/>
  <c r="E28" i="26" s="1"/>
  <c r="M66" i="5"/>
  <c r="D31" i="26" s="1"/>
  <c r="D77" i="26" s="1"/>
  <c r="E77" i="26" s="1"/>
  <c r="H66" i="5"/>
  <c r="N66" i="5" s="1"/>
  <c r="Q66" i="5" s="1"/>
  <c r="G11" i="5"/>
  <c r="G18" i="5"/>
  <c r="M18" i="5" s="1"/>
  <c r="G26" i="5"/>
  <c r="G65" i="5"/>
  <c r="M65" i="5" s="1"/>
  <c r="D30" i="26" s="1"/>
  <c r="G58" i="5"/>
  <c r="M58" i="5" s="1"/>
  <c r="D23" i="26" s="1"/>
  <c r="G16" i="5"/>
  <c r="M16" i="5" s="1"/>
  <c r="G21" i="5"/>
  <c r="M21" i="5" s="1"/>
  <c r="M4" i="5"/>
  <c r="G72" i="5"/>
  <c r="M72" i="5" s="1"/>
  <c r="D37" i="26" s="1"/>
  <c r="D83" i="26" s="1"/>
  <c r="E83" i="26" s="1"/>
  <c r="G52" i="5"/>
  <c r="H52" i="5" s="1"/>
  <c r="N52" i="5" s="1"/>
  <c r="G51" i="5"/>
  <c r="M51" i="5" s="1"/>
  <c r="D16" i="26" s="1"/>
  <c r="D62" i="26" s="1"/>
  <c r="E62" i="26" s="1"/>
  <c r="G23" i="5"/>
  <c r="M23" i="5" s="1"/>
  <c r="G12" i="5"/>
  <c r="H12" i="5" s="1"/>
  <c r="N12" i="5" s="1"/>
  <c r="G17" i="5"/>
  <c r="H17" i="5" s="1"/>
  <c r="N17" i="5" s="1"/>
  <c r="G59" i="5"/>
  <c r="M59" i="5" s="1"/>
  <c r="D24" i="26" s="1"/>
  <c r="D70" i="26" s="1"/>
  <c r="E70" i="26" s="1"/>
  <c r="G69" i="5"/>
  <c r="H69" i="5" s="1"/>
  <c r="N69" i="5" s="1"/>
  <c r="G56" i="5"/>
  <c r="G19" i="5"/>
  <c r="M19" i="5" s="1"/>
  <c r="G8" i="5"/>
  <c r="G13" i="5"/>
  <c r="M13" i="5" s="1"/>
  <c r="G73" i="5"/>
  <c r="M73" i="5" s="1"/>
  <c r="D38" i="26" s="1"/>
  <c r="D84" i="26" s="1"/>
  <c r="E84" i="26" s="1"/>
  <c r="G71" i="5"/>
  <c r="E27" i="8"/>
  <c r="M62" i="2"/>
  <c r="E37" i="8"/>
  <c r="Z149" i="2"/>
  <c r="E97" i="5"/>
  <c r="C126" i="5"/>
  <c r="E100" i="5"/>
  <c r="C99" i="5"/>
  <c r="D105" i="5" s="1"/>
  <c r="D120" i="5"/>
  <c r="E21" i="8"/>
  <c r="Z28" i="2"/>
  <c r="Z29" i="2" s="1"/>
  <c r="W28" i="2"/>
  <c r="Y28" i="2"/>
  <c r="Y29" i="2" s="1"/>
  <c r="X28" i="2"/>
  <c r="X29" i="2" s="1"/>
  <c r="AA28" i="2"/>
  <c r="AA29" i="2" s="1"/>
  <c r="AB28" i="2"/>
  <c r="AB29" i="2" s="1"/>
  <c r="E16" i="8"/>
  <c r="AA70" i="2"/>
  <c r="AA61" i="2"/>
  <c r="M126" i="2"/>
  <c r="M125" i="2"/>
  <c r="P34" i="2"/>
  <c r="P35" i="2"/>
  <c r="W13" i="2"/>
  <c r="X13" i="2"/>
  <c r="W53" i="2"/>
  <c r="AA53" i="2"/>
  <c r="M38" i="2" s="1"/>
  <c r="M40" i="2" s="1"/>
  <c r="C27" i="2" s="1"/>
  <c r="C28" i="2" s="1"/>
  <c r="M41" i="2" s="1"/>
  <c r="V21" i="5"/>
  <c r="AG21" i="5"/>
  <c r="AH21" i="5"/>
  <c r="AE21" i="5"/>
  <c r="AF21" i="5"/>
  <c r="AC21" i="5"/>
  <c r="AD21" i="5"/>
  <c r="AA21" i="5"/>
  <c r="AJ21" i="5" s="1"/>
  <c r="AJ23" i="5" s="1"/>
  <c r="AB21" i="5"/>
  <c r="Y21" i="5"/>
  <c r="Z21" i="5"/>
  <c r="AI21" i="5" s="1"/>
  <c r="AI23" i="5" s="1"/>
  <c r="W21" i="5"/>
  <c r="X21" i="5"/>
  <c r="P63" i="5"/>
  <c r="P52" i="5"/>
  <c r="X20" i="5"/>
  <c r="AC20" i="5"/>
  <c r="Y145" i="2"/>
  <c r="P67" i="5"/>
  <c r="P62" i="5"/>
  <c r="P73" i="5"/>
  <c r="W20" i="5"/>
  <c r="X145" i="2"/>
  <c r="P56" i="5"/>
  <c r="P53" i="5"/>
  <c r="AE20" i="5"/>
  <c r="Q17" i="27"/>
  <c r="G26" i="27"/>
  <c r="S18" i="27"/>
  <c r="F27" i="27"/>
  <c r="P57" i="5"/>
  <c r="P66" i="5"/>
  <c r="P65" i="5"/>
  <c r="P60" i="5"/>
  <c r="AG20" i="5"/>
  <c r="Y20" i="5"/>
  <c r="G10" i="25"/>
  <c r="G11" i="25"/>
  <c r="D55" i="26"/>
  <c r="D10" i="26"/>
  <c r="Q6" i="27"/>
  <c r="E98" i="5"/>
  <c r="E99" i="5" s="1"/>
  <c r="R7" i="27"/>
  <c r="C100" i="5"/>
  <c r="D125" i="5" l="1"/>
  <c r="D126" i="5"/>
  <c r="Y14" i="2"/>
  <c r="Y15" i="2" s="1"/>
  <c r="D124" i="5"/>
  <c r="Y39" i="2"/>
  <c r="M67" i="2" s="1"/>
  <c r="E26" i="8" s="1"/>
  <c r="W14" i="2"/>
  <c r="W15" i="2" s="1"/>
  <c r="X39" i="2"/>
  <c r="W39" i="2"/>
  <c r="M93" i="2" s="1"/>
  <c r="E34" i="8" s="1"/>
  <c r="Z99" i="2"/>
  <c r="AB14" i="2"/>
  <c r="AB15" i="2" s="1"/>
  <c r="X14" i="2"/>
  <c r="X15" i="2" s="1"/>
  <c r="AB27" i="2"/>
  <c r="Z14" i="2"/>
  <c r="Z15" i="2" s="1"/>
  <c r="AA145" i="2"/>
  <c r="M89" i="2" s="1"/>
  <c r="Y27" i="2"/>
  <c r="AA27" i="2"/>
  <c r="Z27" i="2"/>
  <c r="X27" i="2"/>
  <c r="Y159" i="2"/>
  <c r="Z159" i="2" s="1"/>
  <c r="N25" i="8"/>
  <c r="H55" i="5"/>
  <c r="N55" i="5" s="1"/>
  <c r="O55" i="5" s="1"/>
  <c r="D66" i="26"/>
  <c r="E66" i="26" s="1"/>
  <c r="AC57" i="2"/>
  <c r="AC60" i="2"/>
  <c r="AC59" i="2"/>
  <c r="AC67" i="2"/>
  <c r="AC68" i="2"/>
  <c r="AA62" i="2"/>
  <c r="AC69" i="2"/>
  <c r="H51" i="5"/>
  <c r="N51" i="5" s="1"/>
  <c r="Q51" i="5" s="1"/>
  <c r="E25" i="26"/>
  <c r="H62" i="5"/>
  <c r="N62" i="5" s="1"/>
  <c r="O62" i="5" s="1"/>
  <c r="AC58" i="2"/>
  <c r="Q70" i="5"/>
  <c r="H54" i="5"/>
  <c r="N54" i="5" s="1"/>
  <c r="O54" i="5" s="1"/>
  <c r="E19" i="26"/>
  <c r="H10" i="5"/>
  <c r="N10" i="5" s="1"/>
  <c r="H68" i="5"/>
  <c r="N68" i="5" s="1"/>
  <c r="O68" i="5" s="1"/>
  <c r="M17" i="5"/>
  <c r="H14" i="5"/>
  <c r="N14" i="5" s="1"/>
  <c r="E16" i="26"/>
  <c r="H67" i="5"/>
  <c r="N67" i="5" s="1"/>
  <c r="O67" i="5" s="1"/>
  <c r="M12" i="5"/>
  <c r="D79" i="26"/>
  <c r="E79" i="26" s="1"/>
  <c r="E31" i="26"/>
  <c r="D74" i="26"/>
  <c r="E74" i="26" s="1"/>
  <c r="H18" i="5"/>
  <c r="N18" i="5" s="1"/>
  <c r="H72" i="5"/>
  <c r="N72" i="5" s="1"/>
  <c r="Q72" i="5" s="1"/>
  <c r="H25" i="5"/>
  <c r="N25" i="5" s="1"/>
  <c r="E24" i="26"/>
  <c r="H27" i="5"/>
  <c r="N27" i="5" s="1"/>
  <c r="E27" i="26"/>
  <c r="H21" i="5"/>
  <c r="N21" i="5" s="1"/>
  <c r="E26" i="26"/>
  <c r="H63" i="5"/>
  <c r="N63" i="5" s="1"/>
  <c r="H59" i="5"/>
  <c r="N59" i="5" s="1"/>
  <c r="O59" i="5" s="1"/>
  <c r="M70" i="5"/>
  <c r="D35" i="26" s="1"/>
  <c r="E35" i="26" s="1"/>
  <c r="H64" i="5"/>
  <c r="N64" i="5" s="1"/>
  <c r="Q64" i="5" s="1"/>
  <c r="H20" i="5"/>
  <c r="N20" i="5" s="1"/>
  <c r="H6" i="5"/>
  <c r="N6" i="5" s="1"/>
  <c r="M24" i="5"/>
  <c r="H60" i="5"/>
  <c r="N60" i="5" s="1"/>
  <c r="O60" i="5" s="1"/>
  <c r="E37" i="26"/>
  <c r="H61" i="5"/>
  <c r="N61" i="5" s="1"/>
  <c r="H65" i="5"/>
  <c r="N65" i="5" s="1"/>
  <c r="Q65" i="5" s="1"/>
  <c r="H9" i="5"/>
  <c r="N9" i="5" s="1"/>
  <c r="D78" i="26"/>
  <c r="E78" i="26" s="1"/>
  <c r="H5" i="5"/>
  <c r="N5" i="5" s="1"/>
  <c r="M7" i="5"/>
  <c r="M22" i="5"/>
  <c r="M53" i="5"/>
  <c r="D18" i="26" s="1"/>
  <c r="H53" i="5"/>
  <c r="N53" i="5" s="1"/>
  <c r="H58" i="5"/>
  <c r="N58" i="5" s="1"/>
  <c r="Q58" i="5" s="1"/>
  <c r="O66" i="5"/>
  <c r="H57" i="5"/>
  <c r="N57" i="5" s="1"/>
  <c r="M57" i="5"/>
  <c r="D22" i="26" s="1"/>
  <c r="M15" i="5"/>
  <c r="H15" i="5"/>
  <c r="N15" i="5" s="1"/>
  <c r="H16" i="5"/>
  <c r="N16" i="5" s="1"/>
  <c r="H73" i="5"/>
  <c r="N73" i="5" s="1"/>
  <c r="Q73" i="5" s="1"/>
  <c r="H19" i="5"/>
  <c r="N19" i="5" s="1"/>
  <c r="H13" i="5"/>
  <c r="N13" i="5" s="1"/>
  <c r="H8" i="5"/>
  <c r="N8" i="5" s="1"/>
  <c r="M8" i="5"/>
  <c r="M69" i="5"/>
  <c r="D34" i="26" s="1"/>
  <c r="E34" i="26" s="1"/>
  <c r="H23" i="5"/>
  <c r="N23" i="5" s="1"/>
  <c r="E38" i="26"/>
  <c r="E23" i="26"/>
  <c r="D69" i="26"/>
  <c r="E69" i="26" s="1"/>
  <c r="H11" i="5"/>
  <c r="N11" i="5" s="1"/>
  <c r="M11" i="5"/>
  <c r="M52" i="5"/>
  <c r="D17" i="26" s="1"/>
  <c r="D63" i="26" s="1"/>
  <c r="E63" i="26" s="1"/>
  <c r="D121" i="5"/>
  <c r="M56" i="5"/>
  <c r="D21" i="26" s="1"/>
  <c r="H56" i="5"/>
  <c r="N56" i="5" s="1"/>
  <c r="E30" i="26"/>
  <c r="D76" i="26"/>
  <c r="E76" i="26" s="1"/>
  <c r="M71" i="5"/>
  <c r="D36" i="26" s="1"/>
  <c r="H71" i="5"/>
  <c r="N71" i="5" s="1"/>
  <c r="M26" i="5"/>
  <c r="H26" i="5"/>
  <c r="N26" i="5" s="1"/>
  <c r="W29" i="2"/>
  <c r="AB30" i="2" s="1"/>
  <c r="M28" i="2" s="1"/>
  <c r="M30" i="2" s="1"/>
  <c r="M32" i="2" s="1"/>
  <c r="AB65" i="2" s="1"/>
  <c r="Q69" i="5"/>
  <c r="O69" i="5"/>
  <c r="Q52" i="5"/>
  <c r="O52" i="5"/>
  <c r="F105" i="5"/>
  <c r="F107" i="5" s="1"/>
  <c r="D107" i="5"/>
  <c r="D106" i="5"/>
  <c r="S17" i="27"/>
  <c r="F26" i="27"/>
  <c r="Q18" i="27"/>
  <c r="G27" i="27"/>
  <c r="D56" i="26"/>
  <c r="F24" i="26"/>
  <c r="F70" i="26" s="1"/>
  <c r="F27" i="26"/>
  <c r="F73" i="26" s="1"/>
  <c r="F38" i="26"/>
  <c r="F84" i="26" s="1"/>
  <c r="F17" i="26"/>
  <c r="F63" i="26" s="1"/>
  <c r="F37" i="26"/>
  <c r="F83" i="26" s="1"/>
  <c r="F30" i="26"/>
  <c r="F76" i="26" s="1"/>
  <c r="F23" i="26"/>
  <c r="F69" i="26" s="1"/>
  <c r="F35" i="26"/>
  <c r="F81" i="26" s="1"/>
  <c r="F29" i="26"/>
  <c r="F75" i="26" s="1"/>
  <c r="F22" i="26"/>
  <c r="F68" i="26" s="1"/>
  <c r="F18" i="26"/>
  <c r="F64" i="26" s="1"/>
  <c r="F36" i="26"/>
  <c r="F82" i="26" s="1"/>
  <c r="F31" i="26"/>
  <c r="F77" i="26" s="1"/>
  <c r="F21" i="26"/>
  <c r="F67" i="26" s="1"/>
  <c r="F25" i="26"/>
  <c r="F71" i="26" s="1"/>
  <c r="F20" i="26"/>
  <c r="F66" i="26" s="1"/>
  <c r="F28" i="26"/>
  <c r="F74" i="26" s="1"/>
  <c r="F16" i="26"/>
  <c r="G20" i="26" s="1"/>
  <c r="F34" i="26"/>
  <c r="F80" i="26" s="1"/>
  <c r="F19" i="26"/>
  <c r="F65" i="26" s="1"/>
  <c r="F32" i="26"/>
  <c r="F78" i="26" s="1"/>
  <c r="F26" i="26"/>
  <c r="F72" i="26" s="1"/>
  <c r="F33" i="26"/>
  <c r="F79" i="26" s="1"/>
  <c r="E29" i="26"/>
  <c r="D75" i="26"/>
  <c r="E75" i="26" s="1"/>
  <c r="Y95" i="2"/>
  <c r="AB95" i="2" s="1"/>
  <c r="AI25" i="5"/>
  <c r="Y149" i="2" l="1"/>
  <c r="AC149" i="2" s="1"/>
  <c r="AC151" i="2" s="1"/>
  <c r="M95" i="2" s="1"/>
  <c r="D127" i="5"/>
  <c r="M78" i="2" s="1"/>
  <c r="E31" i="8" s="1"/>
  <c r="Y150" i="2"/>
  <c r="M72" i="2"/>
  <c r="M94" i="2"/>
  <c r="M97" i="2" s="1"/>
  <c r="AB16" i="2"/>
  <c r="M27" i="2" s="1"/>
  <c r="M29" i="2" s="1"/>
  <c r="M31" i="2" s="1"/>
  <c r="E17" i="8" s="1"/>
  <c r="E35" i="8"/>
  <c r="Q55" i="5"/>
  <c r="Q54" i="5"/>
  <c r="O51" i="5"/>
  <c r="Q62" i="5"/>
  <c r="Q59" i="5"/>
  <c r="Q68" i="5"/>
  <c r="Q67" i="5"/>
  <c r="D80" i="26"/>
  <c r="E80" i="26" s="1"/>
  <c r="O72" i="5"/>
  <c r="D81" i="26"/>
  <c r="E81" i="26" s="1"/>
  <c r="O65" i="5"/>
  <c r="Q60" i="5"/>
  <c r="Q63" i="5"/>
  <c r="O63" i="5"/>
  <c r="O64" i="5"/>
  <c r="O58" i="5"/>
  <c r="O61" i="5"/>
  <c r="Q61" i="5"/>
  <c r="Q57" i="5"/>
  <c r="O57" i="5"/>
  <c r="E17" i="26"/>
  <c r="G17" i="26" s="1"/>
  <c r="O73" i="5"/>
  <c r="D68" i="26"/>
  <c r="E68" i="26" s="1"/>
  <c r="E22" i="26"/>
  <c r="G22" i="26" s="1"/>
  <c r="O53" i="5"/>
  <c r="Q53" i="5"/>
  <c r="D64" i="26"/>
  <c r="E64" i="26" s="1"/>
  <c r="E18" i="26"/>
  <c r="G18" i="26" s="1"/>
  <c r="O56" i="5"/>
  <c r="Q56" i="5"/>
  <c r="D108" i="5"/>
  <c r="O71" i="5"/>
  <c r="Q71" i="5"/>
  <c r="D82" i="26"/>
  <c r="E82" i="26" s="1"/>
  <c r="E36" i="26"/>
  <c r="G36" i="26" s="1"/>
  <c r="D67" i="26"/>
  <c r="E67" i="26" s="1"/>
  <c r="E21" i="26"/>
  <c r="G21" i="26" s="1"/>
  <c r="F106" i="5"/>
  <c r="F108" i="5" s="1"/>
  <c r="Z94" i="2"/>
  <c r="AA94" i="2" s="1"/>
  <c r="Z95" i="2"/>
  <c r="AA99" i="2" s="1"/>
  <c r="E18" i="8"/>
  <c r="G25" i="26"/>
  <c r="G31" i="26"/>
  <c r="G28" i="26"/>
  <c r="G34" i="26"/>
  <c r="AB67" i="2"/>
  <c r="AD67" i="2" s="1"/>
  <c r="AB68" i="2"/>
  <c r="AD68" i="2" s="1"/>
  <c r="AB69" i="2"/>
  <c r="AD69" i="2" s="1"/>
  <c r="AB66" i="2"/>
  <c r="AD66" i="2" s="1"/>
  <c r="G35" i="26"/>
  <c r="F62" i="26"/>
  <c r="G75" i="26" s="1"/>
  <c r="G26" i="26"/>
  <c r="G16" i="26"/>
  <c r="G27" i="26"/>
  <c r="G33" i="26"/>
  <c r="G19" i="26"/>
  <c r="G38" i="26"/>
  <c r="G30" i="26"/>
  <c r="G32" i="26"/>
  <c r="G23" i="26"/>
  <c r="G37" i="26"/>
  <c r="G24" i="26"/>
  <c r="G29" i="26"/>
  <c r="O26" i="5"/>
  <c r="O17" i="5"/>
  <c r="O21" i="5"/>
  <c r="O6" i="5"/>
  <c r="O15" i="5"/>
  <c r="O16" i="5"/>
  <c r="O10" i="5"/>
  <c r="O19" i="5"/>
  <c r="O20" i="5"/>
  <c r="P21" i="5"/>
  <c r="P5" i="5"/>
  <c r="O14" i="5"/>
  <c r="O23" i="5"/>
  <c r="O24" i="5"/>
  <c r="P13" i="5"/>
  <c r="O9" i="5"/>
  <c r="P24" i="5"/>
  <c r="P27" i="5"/>
  <c r="O8" i="5"/>
  <c r="O12" i="5"/>
  <c r="P19" i="5"/>
  <c r="O18" i="5"/>
  <c r="O5" i="5"/>
  <c r="P26" i="5"/>
  <c r="O11" i="5"/>
  <c r="O22" i="5"/>
  <c r="O13" i="5"/>
  <c r="P7" i="5"/>
  <c r="O7" i="5"/>
  <c r="O25" i="5"/>
  <c r="P12" i="5"/>
  <c r="O27" i="5"/>
  <c r="P17" i="5"/>
  <c r="P25" i="5"/>
  <c r="P14" i="5"/>
  <c r="P6" i="5"/>
  <c r="P15" i="5"/>
  <c r="P18" i="5"/>
  <c r="P22" i="5"/>
  <c r="P20" i="5"/>
  <c r="P8" i="5"/>
  <c r="P16" i="5"/>
  <c r="P23" i="5"/>
  <c r="P9" i="5"/>
  <c r="P10" i="5"/>
  <c r="P11" i="5"/>
  <c r="D11" i="27" l="1"/>
  <c r="P8" i="27" s="1"/>
  <c r="E28" i="27" s="1"/>
  <c r="M43" i="2"/>
  <c r="Y94" i="2" s="1"/>
  <c r="AB94" i="2" s="1"/>
  <c r="Z92" i="2"/>
  <c r="AA92" i="2" s="1"/>
  <c r="Z97" i="2"/>
  <c r="AA97" i="2" s="1"/>
  <c r="AA95" i="2" s="1"/>
  <c r="Z93" i="2"/>
  <c r="AA93" i="2" s="1"/>
  <c r="D8" i="25"/>
  <c r="L12" i="25" s="1"/>
  <c r="AB56" i="2"/>
  <c r="AB57" i="2" s="1"/>
  <c r="AD57" i="2" s="1"/>
  <c r="E109" i="5"/>
  <c r="M77" i="2" s="1"/>
  <c r="N26" i="8" s="1"/>
  <c r="G63" i="26"/>
  <c r="G80" i="26"/>
  <c r="G81" i="26"/>
  <c r="D13" i="27"/>
  <c r="O10" i="27" s="1"/>
  <c r="D12" i="27"/>
  <c r="N9" i="27" s="1"/>
  <c r="AD70" i="2"/>
  <c r="AE70" i="2" s="1"/>
  <c r="G65" i="26"/>
  <c r="G64" i="26"/>
  <c r="G73" i="26"/>
  <c r="G84" i="26"/>
  <c r="G68" i="26"/>
  <c r="G69" i="26"/>
  <c r="G72" i="26"/>
  <c r="G83" i="26"/>
  <c r="G76" i="26"/>
  <c r="G62" i="26"/>
  <c r="G77" i="26"/>
  <c r="G70" i="26"/>
  <c r="G67" i="26"/>
  <c r="G78" i="26"/>
  <c r="G74" i="26"/>
  <c r="G82" i="26"/>
  <c r="G66" i="26"/>
  <c r="G79" i="26"/>
  <c r="G71" i="26"/>
  <c r="AB58" i="2" l="1"/>
  <c r="AD58" i="2" s="1"/>
  <c r="AB59" i="2"/>
  <c r="AD59" i="2" s="1"/>
  <c r="AB60" i="2"/>
  <c r="AD60" i="2" s="1"/>
  <c r="Q8" i="27"/>
  <c r="F28" i="27" s="1"/>
  <c r="R8" i="27"/>
  <c r="Q19" i="27" s="1"/>
  <c r="O19" i="27"/>
  <c r="L11" i="25"/>
  <c r="M12" i="25" s="1"/>
  <c r="L13" i="25"/>
  <c r="M42" i="2"/>
  <c r="Y92" i="2" s="1"/>
  <c r="AB92" i="2" s="1"/>
  <c r="N21" i="27"/>
  <c r="D30" i="27"/>
  <c r="S10" i="27"/>
  <c r="C29" i="27"/>
  <c r="P20" i="27"/>
  <c r="S9" i="27"/>
  <c r="AD61" i="2" l="1"/>
  <c r="AD72" i="2" s="1"/>
  <c r="AE72" i="2" s="1"/>
  <c r="M45" i="2" s="1"/>
  <c r="M55" i="2" s="1"/>
  <c r="S19" i="27"/>
  <c r="G28" i="27"/>
  <c r="M13" i="25"/>
  <c r="M11" i="25"/>
  <c r="Y93" i="2"/>
  <c r="AB93" i="2" s="1"/>
  <c r="AB96" i="2" s="1"/>
  <c r="M48" i="2" s="1"/>
  <c r="H29" i="27"/>
  <c r="R20" i="27"/>
  <c r="R21" i="27"/>
  <c r="H30" i="27"/>
  <c r="AE61" i="2" l="1"/>
  <c r="V111" i="2"/>
  <c r="X111" i="2" s="1"/>
  <c r="E22" i="8"/>
  <c r="M46" i="2"/>
  <c r="M14" i="25"/>
  <c r="N14" i="25" s="1"/>
  <c r="G16" i="25" s="1"/>
  <c r="E24" i="8"/>
  <c r="W111" i="2" l="1"/>
  <c r="W112" i="2" s="1"/>
  <c r="W113" i="2" s="1"/>
  <c r="Z113" i="2" s="1"/>
  <c r="AA113" i="2" s="1"/>
  <c r="V122" i="2" s="1"/>
  <c r="W122" i="2" s="1"/>
  <c r="M52" i="2" s="1"/>
  <c r="Y111" i="2"/>
  <c r="D16" i="25"/>
  <c r="D14" i="27" s="1"/>
  <c r="O12" i="27" s="1"/>
  <c r="S12" i="27" s="1"/>
  <c r="M51" i="2" l="1"/>
  <c r="D32" i="27"/>
  <c r="N23" i="27"/>
  <c r="N11" i="27"/>
  <c r="S11" i="27" s="1"/>
  <c r="R22" i="27" s="1"/>
  <c r="R23" i="27"/>
  <c r="H32" i="27"/>
  <c r="H31" i="27" l="1"/>
  <c r="P22" i="27"/>
  <c r="C31"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EZ Engineers</author>
    <author>Edward Zabala</author>
    <author>owner</author>
  </authors>
  <commentList>
    <comment ref="B8" authorId="0" shapeId="0" xr:uid="{560F9F0D-30BA-4EAF-88F6-57455013C799}">
      <text>
        <r>
          <rPr>
            <b/>
            <sz val="9"/>
            <color indexed="81"/>
            <rFont val="Tahoma"/>
            <charset val="1"/>
          </rPr>
          <t>EZ Engineers:</t>
        </r>
        <r>
          <rPr>
            <sz val="9"/>
            <color indexed="81"/>
            <rFont val="Tahoma"/>
            <charset val="1"/>
          </rPr>
          <t xml:space="preserve">
Height from the finished floor to the soffitt.</t>
        </r>
      </text>
    </comment>
    <comment ref="B9" authorId="0" shapeId="0" xr:uid="{6E658B14-B9AC-4C9A-8111-FEB673C4795D}">
      <text>
        <r>
          <rPr>
            <b/>
            <sz val="9"/>
            <color indexed="81"/>
            <rFont val="Tahoma"/>
            <charset val="1"/>
          </rPr>
          <t>EZ Engineers:</t>
        </r>
        <r>
          <rPr>
            <sz val="9"/>
            <color indexed="81"/>
            <rFont val="Tahoma"/>
            <charset val="1"/>
          </rPr>
          <t xml:space="preserve">
Length of footprint.</t>
        </r>
      </text>
    </comment>
    <comment ref="B10" authorId="0" shapeId="0" xr:uid="{D1DB8DCE-57E3-4040-9166-405B1131A54D}">
      <text>
        <r>
          <rPr>
            <b/>
            <sz val="9"/>
            <color indexed="81"/>
            <rFont val="Tahoma"/>
            <charset val="1"/>
          </rPr>
          <t>EZ Engineers:</t>
        </r>
        <r>
          <rPr>
            <sz val="9"/>
            <color indexed="81"/>
            <rFont val="Tahoma"/>
            <charset val="1"/>
          </rPr>
          <t xml:space="preserve">
Width of footprint.</t>
        </r>
      </text>
    </comment>
    <comment ref="B11" authorId="0" shapeId="0" xr:uid="{B746D2A7-004E-449E-9D68-930AE3F3E92B}">
      <text>
        <r>
          <rPr>
            <b/>
            <sz val="9"/>
            <color indexed="81"/>
            <rFont val="Tahoma"/>
            <charset val="1"/>
          </rPr>
          <t>EZ Engineers:</t>
        </r>
        <r>
          <rPr>
            <sz val="9"/>
            <color indexed="81"/>
            <rFont val="Tahoma"/>
            <charset val="1"/>
          </rPr>
          <t xml:space="preserve">
Overhang length for ridge roofs.  Leave as "0" for shed roof.</t>
        </r>
      </text>
    </comment>
    <comment ref="C12" authorId="1" shapeId="0" xr:uid="{DE2705B4-CBEB-43CE-8175-B9F2A431A71E}">
      <text>
        <r>
          <rPr>
            <b/>
            <sz val="9"/>
            <color indexed="81"/>
            <rFont val="Tahoma"/>
            <family val="2"/>
          </rPr>
          <t>Edward Zabala:</t>
        </r>
        <r>
          <rPr>
            <sz val="9"/>
            <color indexed="81"/>
            <rFont val="Tahoma"/>
            <family val="2"/>
          </rPr>
          <t xml:space="preserve"> 
Select value for the purpose of calculating roof slope for wind.</t>
        </r>
      </text>
    </comment>
    <comment ref="M12" authorId="1" shapeId="0" xr:uid="{F83E1277-228D-41A8-B830-1BE4F56ED29F}">
      <text>
        <r>
          <rPr>
            <b/>
            <sz val="9"/>
            <color indexed="81"/>
            <rFont val="Tahoma"/>
            <family val="2"/>
          </rPr>
          <t>Edward Zabala:</t>
        </r>
        <r>
          <rPr>
            <sz val="9"/>
            <color indexed="81"/>
            <rFont val="Tahoma"/>
            <family val="2"/>
          </rPr>
          <t xml:space="preserve"> 
Select value for the purpose of calculating roof slope for wind.</t>
        </r>
      </text>
    </comment>
    <comment ref="B13" authorId="2" shapeId="0" xr:uid="{4D63E10B-1741-4D30-B672-D04463A82F22}">
      <text>
        <r>
          <rPr>
            <b/>
            <sz val="9"/>
            <color indexed="81"/>
            <rFont val="Tahoma"/>
            <family val="2"/>
          </rPr>
          <t>owner:</t>
        </r>
        <r>
          <rPr>
            <sz val="9"/>
            <color indexed="81"/>
            <rFont val="Tahoma"/>
            <family val="2"/>
          </rPr>
          <t xml:space="preserve">
Select either rise/run or elevation to calculate the mean roof height.</t>
        </r>
      </text>
    </comment>
    <comment ref="B14" authorId="0" shapeId="0" xr:uid="{0463AFAC-7A3A-4483-A32A-A958A1347321}">
      <text>
        <r>
          <rPr>
            <b/>
            <sz val="9"/>
            <color indexed="81"/>
            <rFont val="Tahoma"/>
            <charset val="1"/>
          </rPr>
          <t>EZ Engineers:</t>
        </r>
        <r>
          <rPr>
            <sz val="9"/>
            <color indexed="81"/>
            <rFont val="Tahoma"/>
            <charset val="1"/>
          </rPr>
          <t xml:space="preserve">
For best results, enter in the actual value for rise.  Not just a y:x.  Especially for shed roofs.  However, for ridge roofs, you can just enter y:x</t>
        </r>
      </text>
    </comment>
    <comment ref="B15" authorId="0" shapeId="0" xr:uid="{592A3CAF-A291-49B8-84C3-554954646E96}">
      <text>
        <r>
          <rPr>
            <b/>
            <sz val="9"/>
            <color indexed="81"/>
            <rFont val="Tahoma"/>
            <charset val="1"/>
          </rPr>
          <t>EZ Engineers:</t>
        </r>
        <r>
          <rPr>
            <sz val="9"/>
            <color indexed="81"/>
            <rFont val="Tahoma"/>
            <charset val="1"/>
          </rPr>
          <t xml:space="preserve">
For best results, enter in the actual value for run.  Not just a y:x.  Especially for shed roofs.  However, for ridge roofs, you can just enter y:x</t>
        </r>
      </text>
    </comment>
    <comment ref="B16" authorId="2" shapeId="0" xr:uid="{02924A12-5276-4AB1-A8CC-68F2D9E90E28}">
      <text>
        <r>
          <rPr>
            <b/>
            <sz val="9"/>
            <color indexed="81"/>
            <rFont val="Tahoma"/>
            <family val="2"/>
          </rPr>
          <t>owner:</t>
        </r>
        <r>
          <rPr>
            <sz val="9"/>
            <color indexed="81"/>
            <rFont val="Tahoma"/>
            <family val="2"/>
          </rPr>
          <t xml:space="preserve">
Roof elevation at peak.</t>
        </r>
      </text>
    </comment>
    <comment ref="L16" authorId="2" shapeId="0" xr:uid="{F014E041-B337-40DC-8C61-8B8B664AC8E9}">
      <text>
        <r>
          <rPr>
            <b/>
            <sz val="9"/>
            <color indexed="81"/>
            <rFont val="Tahoma"/>
            <family val="2"/>
          </rPr>
          <t>owner:</t>
        </r>
        <r>
          <rPr>
            <sz val="9"/>
            <color indexed="81"/>
            <rFont val="Tahoma"/>
            <family val="2"/>
          </rPr>
          <t xml:space="preserve">
Roof elevation at peak.</t>
        </r>
      </text>
    </comment>
    <comment ref="B17" authorId="2" shapeId="0" xr:uid="{958AD4A2-66E4-4153-9EC3-8F3E204894CA}">
      <text>
        <r>
          <rPr>
            <b/>
            <sz val="9"/>
            <color indexed="81"/>
            <rFont val="Tahoma"/>
            <family val="2"/>
          </rPr>
          <t>owner:</t>
        </r>
        <r>
          <rPr>
            <sz val="9"/>
            <color indexed="81"/>
            <rFont val="Tahoma"/>
            <family val="2"/>
          </rPr>
          <t xml:space="preserve">
Roof elevation at soffitt</t>
        </r>
      </text>
    </comment>
    <comment ref="L17" authorId="2" shapeId="0" xr:uid="{789A7490-37F9-439F-B0A4-1EC0DBB19D7F}">
      <text>
        <r>
          <rPr>
            <b/>
            <sz val="9"/>
            <color indexed="81"/>
            <rFont val="Tahoma"/>
            <family val="2"/>
          </rPr>
          <t>owner:</t>
        </r>
        <r>
          <rPr>
            <sz val="9"/>
            <color indexed="81"/>
            <rFont val="Tahoma"/>
            <family val="2"/>
          </rPr>
          <t xml:space="preserve">
Roof elevation at soffitt</t>
        </r>
      </text>
    </comment>
    <comment ref="B28" authorId="2" shapeId="0" xr:uid="{730EA2DB-4317-4590-A42D-ECD20CD576A2}">
      <text>
        <r>
          <rPr>
            <b/>
            <sz val="9"/>
            <color indexed="81"/>
            <rFont val="Tahoma"/>
            <family val="2"/>
          </rPr>
          <t>Ed Zabala:</t>
        </r>
        <r>
          <rPr>
            <sz val="9"/>
            <color indexed="81"/>
            <rFont val="Tahoma"/>
            <family val="2"/>
          </rPr>
          <t xml:space="preserve">
§ 12.8.2 - as an alternative to performing an analysis to find T, you can use Ta.</t>
        </r>
      </text>
    </comment>
    <comment ref="C56" authorId="1" shapeId="0" xr:uid="{D2748C1E-EEB8-4840-80C8-613BE8B64706}">
      <text>
        <r>
          <rPr>
            <b/>
            <sz val="9"/>
            <color indexed="81"/>
            <rFont val="Tahoma"/>
            <family val="2"/>
          </rPr>
          <t>Edward Zabala:</t>
        </r>
        <r>
          <rPr>
            <sz val="9"/>
            <color indexed="81"/>
            <rFont val="Tahoma"/>
            <family val="2"/>
          </rPr>
          <t xml:space="preserve">
§ 26.8.2 - If site conditions and locations of buildings and other structures do not meet all the conditions specified in § 26.8.1 then Kzt = 1.0</t>
        </r>
      </text>
    </comment>
    <comment ref="C59" authorId="1" shapeId="0" xr:uid="{A9EA2AF8-93A1-42A2-B8A9-15B6E27AE931}">
      <text>
        <r>
          <rPr>
            <b/>
            <sz val="9"/>
            <color indexed="81"/>
            <rFont val="Tahoma"/>
            <family val="2"/>
          </rPr>
          <t>Edward Zabala:</t>
        </r>
        <r>
          <rPr>
            <sz val="9"/>
            <color indexed="81"/>
            <rFont val="Tahoma"/>
            <family val="2"/>
          </rPr>
          <t xml:space="preserve">
§ 26.9.1 - The gust effect factor for a rigid building or other structure is permitted to be taken at 0.85</t>
        </r>
      </text>
    </comment>
    <comment ref="C60" authorId="1" shapeId="0" xr:uid="{4873CE6F-9CBD-4CD1-994F-C28BF4960DB7}">
      <text>
        <r>
          <rPr>
            <b/>
            <sz val="9"/>
            <color indexed="81"/>
            <rFont val="Tahoma"/>
            <family val="2"/>
          </rPr>
          <t>Edward Zabala:</t>
        </r>
        <r>
          <rPr>
            <sz val="9"/>
            <color indexed="81"/>
            <rFont val="Tahoma"/>
            <family val="2"/>
          </rPr>
          <t xml:space="preserve">
Wind-borne debris region per
IBC 2015 § 1609.1.2, p.367</t>
        </r>
      </text>
    </comment>
    <comment ref="C64" authorId="1" shapeId="0" xr:uid="{39851903-0F1A-4122-A55A-4D4736F1F555}">
      <text>
        <r>
          <rPr>
            <b/>
            <sz val="9"/>
            <color indexed="81"/>
            <rFont val="Tahoma"/>
            <family val="2"/>
          </rPr>
          <t>Edward Zabala:</t>
        </r>
        <r>
          <rPr>
            <sz val="9"/>
            <color indexed="81"/>
            <rFont val="Tahoma"/>
            <family val="2"/>
          </rPr>
          <t xml:space="preserve">
ASCE 7-10 (p.23), §7.3.4, Min. Snow Load for Low-Slope Roofs, pm</t>
        </r>
      </text>
    </comment>
    <comment ref="C66" authorId="1" shapeId="0" xr:uid="{2D4EE40F-70F8-460B-B6B6-DA7176A420C1}">
      <text>
        <r>
          <rPr>
            <b/>
            <sz val="9"/>
            <color indexed="81"/>
            <rFont val="Tahoma"/>
            <family val="2"/>
          </rPr>
          <t>Edward Zabala:</t>
        </r>
        <r>
          <rPr>
            <sz val="9"/>
            <color indexed="81"/>
            <rFont val="Tahoma"/>
            <family val="2"/>
          </rPr>
          <t xml:space="preserve">
</t>
        </r>
      </text>
    </comment>
    <comment ref="C67" authorId="1" shapeId="0" xr:uid="{6C76B91B-D4D6-4EB1-A1C7-CEE4A2605494}">
      <text>
        <r>
          <rPr>
            <b/>
            <sz val="9"/>
            <color indexed="81"/>
            <rFont val="Tahoma"/>
            <family val="2"/>
          </rPr>
          <t>Edward Zabala:</t>
        </r>
        <r>
          <rPr>
            <sz val="9"/>
            <color indexed="81"/>
            <rFont val="Tahoma"/>
            <family val="2"/>
          </rPr>
          <t xml:space="preserve">
</t>
        </r>
      </text>
    </comment>
    <comment ref="C69" authorId="1" shapeId="0" xr:uid="{1F040030-A931-4922-A666-5DDD8FB0A551}">
      <text>
        <r>
          <rPr>
            <b/>
            <sz val="9"/>
            <color indexed="81"/>
            <rFont val="Tahoma"/>
            <family val="2"/>
          </rPr>
          <t>Edward Zabala:</t>
        </r>
        <r>
          <rPr>
            <sz val="9"/>
            <color indexed="81"/>
            <rFont val="Tahoma"/>
            <family val="2"/>
          </rPr>
          <t xml:space="preserve">
Enter local known value (average frost depth map)
Guard against frost per IBC 2015 § 1809.5, p.431</t>
        </r>
      </text>
    </comment>
    <comment ref="M73" authorId="1" shapeId="0" xr:uid="{00000000-0006-0000-0000-000002000000}">
      <text>
        <r>
          <rPr>
            <b/>
            <sz val="9"/>
            <color indexed="81"/>
            <rFont val="Tahoma"/>
            <family val="2"/>
          </rPr>
          <t>Edward Zabala:</t>
        </r>
        <r>
          <rPr>
            <sz val="9"/>
            <color indexed="81"/>
            <rFont val="Tahoma"/>
            <family val="2"/>
          </rPr>
          <t xml:space="preserve">
§ 26.8.2 - If site conditions and locations of buildings and other structures do not meet all the conditions specified in § 26.8.1 then Kzt = 1.0</t>
        </r>
      </text>
    </comment>
    <comment ref="M76" authorId="1" shapeId="0" xr:uid="{00000000-0006-0000-0000-000003000000}">
      <text>
        <r>
          <rPr>
            <b/>
            <sz val="9"/>
            <color indexed="81"/>
            <rFont val="Tahoma"/>
            <family val="2"/>
          </rPr>
          <t>Edward Zabala:</t>
        </r>
        <r>
          <rPr>
            <sz val="9"/>
            <color indexed="81"/>
            <rFont val="Tahoma"/>
            <family val="2"/>
          </rPr>
          <t xml:space="preserve">
§ 26.9.1 - The gust effect factor for a rigid building or other structure is permitted to be taken at 0.85</t>
        </r>
      </text>
    </comment>
    <comment ref="M79" authorId="1" shapeId="0" xr:uid="{CD2999A1-6B89-4B3C-8F25-F5D79158FC89}">
      <text>
        <r>
          <rPr>
            <b/>
            <sz val="9"/>
            <color indexed="81"/>
            <rFont val="Tahoma"/>
            <family val="2"/>
          </rPr>
          <t>Edward Zabala:</t>
        </r>
        <r>
          <rPr>
            <sz val="9"/>
            <color indexed="81"/>
            <rFont val="Tahoma"/>
            <family val="2"/>
          </rPr>
          <t xml:space="preserve">
Wind-borne debris region per
IBC 2015 § 1609.1.2, p.367</t>
        </r>
      </text>
    </comment>
    <comment ref="M87" authorId="1" shapeId="0" xr:uid="{80B50931-7200-4D89-A35D-A86C4B744792}">
      <text>
        <r>
          <rPr>
            <b/>
            <sz val="9"/>
            <color indexed="81"/>
            <rFont val="Tahoma"/>
            <family val="2"/>
          </rPr>
          <t>Edward Zabala:</t>
        </r>
        <r>
          <rPr>
            <sz val="9"/>
            <color indexed="81"/>
            <rFont val="Tahoma"/>
            <family val="2"/>
          </rPr>
          <t xml:space="preserve">
ASCE 7-10 (p.23), §7.3.4, Min. Snow Load for Low-Slope Roofs, pm</t>
        </r>
      </text>
    </comment>
    <comment ref="M90" authorId="1" shapeId="0" xr:uid="{00000000-0006-0000-0000-000004000000}">
      <text>
        <r>
          <rPr>
            <b/>
            <sz val="9"/>
            <color indexed="81"/>
            <rFont val="Tahoma"/>
            <family val="2"/>
          </rPr>
          <t>Edward Zabala:</t>
        </r>
        <r>
          <rPr>
            <sz val="9"/>
            <color indexed="81"/>
            <rFont val="Tahoma"/>
            <family val="2"/>
          </rPr>
          <t xml:space="preserve">
</t>
        </r>
      </text>
    </comment>
    <comment ref="M92" authorId="1" shapeId="0" xr:uid="{00000000-0006-0000-0000-000005000000}">
      <text>
        <r>
          <rPr>
            <b/>
            <sz val="9"/>
            <color indexed="81"/>
            <rFont val="Tahoma"/>
            <family val="2"/>
          </rPr>
          <t>Edward Zabala:</t>
        </r>
        <r>
          <rPr>
            <sz val="9"/>
            <color indexed="81"/>
            <rFont val="Tahoma"/>
            <family val="2"/>
          </rPr>
          <t xml:space="preserve">
</t>
        </r>
      </text>
    </comment>
    <comment ref="C96" authorId="2" shapeId="0" xr:uid="{23CDC245-6249-4B56-9251-16C6AFD2666E}">
      <text>
        <r>
          <rPr>
            <b/>
            <sz val="9"/>
            <color indexed="81"/>
            <rFont val="Tahoma"/>
            <family val="2"/>
          </rPr>
          <t>owner:</t>
        </r>
        <r>
          <rPr>
            <sz val="9"/>
            <color indexed="81"/>
            <rFont val="Tahoma"/>
            <family val="2"/>
          </rPr>
          <t xml:space="preserve">
length of tributary drainage area.</t>
        </r>
      </text>
    </comment>
    <comment ref="D96" authorId="2" shapeId="0" xr:uid="{36E0E380-1F0E-4084-83A1-0E41AB553729}">
      <text>
        <r>
          <rPr>
            <b/>
            <sz val="9"/>
            <color indexed="81"/>
            <rFont val="Tahoma"/>
            <family val="2"/>
          </rPr>
          <t>owner:</t>
        </r>
        <r>
          <rPr>
            <sz val="9"/>
            <color indexed="81"/>
            <rFont val="Tahoma"/>
            <family val="2"/>
          </rPr>
          <t xml:space="preserve">
width of tributary drainage area.</t>
        </r>
      </text>
    </comment>
    <comment ref="E96" authorId="2" shapeId="0" xr:uid="{A1F015FB-B889-4A8D-92A3-A73CE37508E4}">
      <text>
        <r>
          <rPr>
            <b/>
            <sz val="9"/>
            <color indexed="81"/>
            <rFont val="Tahoma"/>
            <family val="2"/>
          </rPr>
          <t>owner:</t>
        </r>
        <r>
          <rPr>
            <sz val="9"/>
            <color indexed="81"/>
            <rFont val="Tahoma"/>
            <family val="2"/>
          </rPr>
          <t xml:space="preserve">
area of tributary drainage area.</t>
        </r>
      </text>
    </comment>
    <comment ref="F96" authorId="2" shapeId="0" xr:uid="{EA4787C8-6977-4EA8-8A87-8447E56780D7}">
      <text>
        <r>
          <rPr>
            <b/>
            <sz val="9"/>
            <color indexed="81"/>
            <rFont val="Tahoma"/>
            <family val="2"/>
          </rPr>
          <t>owner:</t>
        </r>
        <r>
          <rPr>
            <sz val="9"/>
            <color indexed="81"/>
            <rFont val="Tahoma"/>
            <family val="2"/>
          </rPr>
          <t xml:space="preserve">
Q = CiA
Conversion factor if I = in/hr and A = sq.ft. is (7.48/720).  This will give you gpm.</t>
        </r>
      </text>
    </comment>
    <comment ref="G96" authorId="2" shapeId="0" xr:uid="{76C4AFB1-4424-4980-A6D2-EE4E220FE918}">
      <text>
        <r>
          <rPr>
            <b/>
            <sz val="9"/>
            <color indexed="81"/>
            <rFont val="Tahoma"/>
            <family val="2"/>
          </rPr>
          <t>owner:</t>
        </r>
        <r>
          <rPr>
            <sz val="9"/>
            <color indexed="81"/>
            <rFont val="Tahoma"/>
            <family val="2"/>
          </rPr>
          <t xml:space="preserve">
Depth of water on the undeflected roof up to the inlet of the secondary drainage system when the primary drainage system is blocked.
Use ASCE Table C8-1 to determine this depth of water and enter this value manually.
Example:  If on ASCE Table C8-1 gives you 1" of head for a 4" dia. drain for 80 gpm.  You have 37.73 gpm.  To get the head do ds = 37.75/80 = 0.4715.</t>
        </r>
      </text>
    </comment>
    <comment ref="H96" authorId="2" shapeId="0" xr:uid="{2EACE596-C24D-4D45-9C94-704CBDDEBC04}">
      <text>
        <r>
          <rPr>
            <b/>
            <sz val="9"/>
            <color indexed="81"/>
            <rFont val="Tahoma"/>
            <family val="2"/>
          </rPr>
          <t>owner:</t>
        </r>
        <r>
          <rPr>
            <sz val="9"/>
            <color indexed="81"/>
            <rFont val="Tahoma"/>
            <family val="2"/>
          </rPr>
          <t xml:space="preserve">
Additional depth of water on the undeflected roof above the inlet of the secondary drainage system at its design flow. (i.e. hydraulic head).
See drawings to determine this additional height.</t>
        </r>
      </text>
    </comment>
    <comment ref="M98" authorId="1" shapeId="0" xr:uid="{FB0EB5A2-E448-4038-A0C8-40C5E700DCFE}">
      <text>
        <r>
          <rPr>
            <b/>
            <sz val="9"/>
            <color indexed="81"/>
            <rFont val="Tahoma"/>
            <family val="2"/>
          </rPr>
          <t>Edward Zabala:</t>
        </r>
        <r>
          <rPr>
            <sz val="9"/>
            <color indexed="81"/>
            <rFont val="Tahoma"/>
            <family val="2"/>
          </rPr>
          <t xml:space="preserve">
Enter local known value (average frost depth map)
Guard against frost per IBC 2015 § 1809.5, p.431</t>
        </r>
      </text>
    </comment>
    <comment ref="C107" authorId="1" shapeId="0" xr:uid="{4FAB51E9-8D17-4A2A-8346-E3559C587107}">
      <text>
        <r>
          <rPr>
            <b/>
            <sz val="9"/>
            <color indexed="81"/>
            <rFont val="Tahoma"/>
            <family val="2"/>
          </rPr>
          <t>Edward Zabala:</t>
        </r>
        <r>
          <rPr>
            <sz val="9"/>
            <color indexed="81"/>
            <rFont val="Tahoma"/>
            <family val="2"/>
          </rPr>
          <t xml:space="preserve">
It is most ideal to get the soil data from a geotechnical report.  However, if that is not available, we pull our soil data from the USDA Web Soil Survey.  There, they give you soil information that you have to judge as to where it falls on their "triangle chart".  The best thing you can do after that is to find out what the equivalent USCS two letter symbol would correspond to the triangle chart.  I usually go to page 21 (maybe 22) of the USACE document called the ERDC/CREEL TR-15-4.</t>
        </r>
      </text>
    </comment>
    <comment ref="M131" authorId="1" shapeId="0" xr:uid="{51E7C4E6-768A-4E01-BA6E-F8D38AB28C14}">
      <text>
        <r>
          <rPr>
            <b/>
            <sz val="9"/>
            <color indexed="81"/>
            <rFont val="Tahoma"/>
            <family val="2"/>
          </rPr>
          <t>Edward Zabala:</t>
        </r>
        <r>
          <rPr>
            <sz val="9"/>
            <color indexed="81"/>
            <rFont val="Tahoma"/>
            <family val="2"/>
          </rPr>
          <t xml:space="preserve">
It is most ideal to get the soil data from a geotechnical report.  However, if that is not available, we pull our soil data from the USDA Web Soil Survey.  There, they give you soil information that you have to judge as to where it falls on their "triangle chart".  The best thing you can do after that is to find out what the equivalent USCS two letter symbol would correspond to the triangle chart.  I usually go to page 21 (maybe 22) of the USACE document called the ERDC/CREEL TR-15-4.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Edward Zabala</author>
  </authors>
  <commentList>
    <comment ref="D15" authorId="0" shapeId="0" xr:uid="{3155F22F-8F39-49D4-A6A0-FBED524EEB15}">
      <text>
        <r>
          <rPr>
            <b/>
            <sz val="9"/>
            <color indexed="81"/>
            <rFont val="Tahoma"/>
            <family val="2"/>
          </rPr>
          <t>Edward Zabala:</t>
        </r>
        <r>
          <rPr>
            <sz val="9"/>
            <color indexed="81"/>
            <rFont val="Tahoma"/>
            <family val="2"/>
          </rPr>
          <t xml:space="preserve">
Calculate by using the following sample calc.
100% * plan dimension (ft) = A</t>
        </r>
      </text>
    </comment>
    <comment ref="D16" authorId="0" shapeId="0" xr:uid="{FEB66939-405A-4DDD-8BEA-12FF90BC53C5}">
      <text>
        <r>
          <rPr>
            <b/>
            <sz val="9"/>
            <color indexed="81"/>
            <rFont val="Tahoma"/>
            <family val="2"/>
          </rPr>
          <t>Edward Zabala:</t>
        </r>
        <r>
          <rPr>
            <sz val="9"/>
            <color indexed="81"/>
            <rFont val="Tahoma"/>
            <family val="2"/>
          </rPr>
          <t xml:space="preserve">
Calculate by using the following sample calc.
10% * profile dimension (ft) * 2 sides = A horiz</t>
        </r>
      </text>
    </comment>
    <comment ref="D18" authorId="0" shapeId="0" xr:uid="{13194AD1-273A-4322-ACBB-9AAC4EA96E49}">
      <text>
        <r>
          <rPr>
            <b/>
            <sz val="9"/>
            <color indexed="81"/>
            <rFont val="Tahoma"/>
            <family val="2"/>
          </rPr>
          <t>Edward Zabala:</t>
        </r>
        <r>
          <rPr>
            <sz val="9"/>
            <color indexed="81"/>
            <rFont val="Tahoma"/>
            <family val="2"/>
          </rPr>
          <t xml:space="preserve">
This is the plane of the face of platform.  This value can be X or Y if the Y-axis is vertical.  Or, it can be Z or X if the Z-axis is vertical.</t>
        </r>
      </text>
    </comment>
  </commentList>
</comments>
</file>

<file path=xl/sharedStrings.xml><?xml version="1.0" encoding="utf-8"?>
<sst xmlns="http://schemas.openxmlformats.org/spreadsheetml/2006/main" count="1409" uniqueCount="627">
  <si>
    <r>
      <t>S</t>
    </r>
    <r>
      <rPr>
        <vertAlign val="subscript"/>
        <sz val="11"/>
        <color theme="1"/>
        <rFont val="Calibri"/>
        <family val="2"/>
        <scheme val="minor"/>
      </rPr>
      <t>MS</t>
    </r>
  </si>
  <si>
    <r>
      <t>S</t>
    </r>
    <r>
      <rPr>
        <vertAlign val="subscript"/>
        <sz val="11"/>
        <color theme="1"/>
        <rFont val="Calibri"/>
        <family val="2"/>
        <scheme val="minor"/>
      </rPr>
      <t>M1</t>
    </r>
  </si>
  <si>
    <r>
      <t>F</t>
    </r>
    <r>
      <rPr>
        <vertAlign val="subscript"/>
        <sz val="11"/>
        <color theme="1"/>
        <rFont val="Calibri"/>
        <family val="2"/>
        <scheme val="minor"/>
      </rPr>
      <t>a</t>
    </r>
  </si>
  <si>
    <r>
      <t>F</t>
    </r>
    <r>
      <rPr>
        <vertAlign val="subscript"/>
        <sz val="11"/>
        <color theme="1"/>
        <rFont val="Calibri"/>
        <family val="2"/>
        <scheme val="minor"/>
      </rPr>
      <t>v</t>
    </r>
  </si>
  <si>
    <r>
      <t>S</t>
    </r>
    <r>
      <rPr>
        <vertAlign val="subscript"/>
        <sz val="11"/>
        <color theme="1"/>
        <rFont val="Calibri"/>
        <family val="2"/>
        <scheme val="minor"/>
      </rPr>
      <t>DS</t>
    </r>
  </si>
  <si>
    <r>
      <t>S</t>
    </r>
    <r>
      <rPr>
        <vertAlign val="subscript"/>
        <sz val="11"/>
        <color theme="1"/>
        <rFont val="Calibri"/>
        <family val="2"/>
        <scheme val="minor"/>
      </rPr>
      <t>D1</t>
    </r>
  </si>
  <si>
    <r>
      <t>S</t>
    </r>
    <r>
      <rPr>
        <vertAlign val="subscript"/>
        <sz val="11"/>
        <color theme="1"/>
        <rFont val="Calibri"/>
        <family val="2"/>
        <scheme val="minor"/>
      </rPr>
      <t>S</t>
    </r>
  </si>
  <si>
    <r>
      <t>S</t>
    </r>
    <r>
      <rPr>
        <vertAlign val="subscript"/>
        <sz val="11"/>
        <color theme="1"/>
        <rFont val="Calibri"/>
        <family val="2"/>
        <scheme val="minor"/>
      </rPr>
      <t>1</t>
    </r>
  </si>
  <si>
    <t>g</t>
  </si>
  <si>
    <t>Site</t>
  </si>
  <si>
    <t>D</t>
  </si>
  <si>
    <t>III</t>
  </si>
  <si>
    <r>
      <t>ASCE 7-10 (p.55), T 11.4.-1, Site Coefficient, F</t>
    </r>
    <r>
      <rPr>
        <vertAlign val="subscript"/>
        <sz val="11"/>
        <color theme="1"/>
        <rFont val="Calibri"/>
        <family val="2"/>
        <scheme val="minor"/>
      </rPr>
      <t>a</t>
    </r>
  </si>
  <si>
    <t>A</t>
  </si>
  <si>
    <t>B</t>
  </si>
  <si>
    <t>C</t>
  </si>
  <si>
    <t>E</t>
  </si>
  <si>
    <t>F</t>
  </si>
  <si>
    <r>
      <t>S</t>
    </r>
    <r>
      <rPr>
        <vertAlign val="subscript"/>
        <sz val="11"/>
        <color theme="1"/>
        <rFont val="Calibri"/>
        <family val="2"/>
        <scheme val="minor"/>
      </rPr>
      <t>s</t>
    </r>
    <r>
      <rPr>
        <sz val="11"/>
        <color theme="1"/>
        <rFont val="Calibri"/>
        <family val="2"/>
        <scheme val="minor"/>
      </rPr>
      <t xml:space="preserve"> =</t>
    </r>
  </si>
  <si>
    <r>
      <t>S</t>
    </r>
    <r>
      <rPr>
        <vertAlign val="subscript"/>
        <sz val="11"/>
        <color theme="1"/>
        <rFont val="Calibri"/>
        <family val="2"/>
        <scheme val="minor"/>
      </rPr>
      <t>s</t>
    </r>
    <r>
      <rPr>
        <sz val="11"/>
        <color theme="1"/>
        <rFont val="Calibri"/>
        <family val="2"/>
        <scheme val="minor"/>
      </rPr>
      <t xml:space="preserve"> &lt;=</t>
    </r>
  </si>
  <si>
    <r>
      <t>S</t>
    </r>
    <r>
      <rPr>
        <vertAlign val="subscript"/>
        <sz val="11"/>
        <color theme="1"/>
        <rFont val="Calibri"/>
        <family val="2"/>
        <scheme val="minor"/>
      </rPr>
      <t>s</t>
    </r>
    <r>
      <rPr>
        <sz val="11"/>
        <color theme="1"/>
        <rFont val="Calibri"/>
        <family val="2"/>
        <scheme val="minor"/>
      </rPr>
      <t xml:space="preserve"> &gt;=</t>
    </r>
  </si>
  <si>
    <t>Logical</t>
  </si>
  <si>
    <r>
      <t>ASCE 7-10 (p.55), T 11.4.-2, Site Coefficient, F</t>
    </r>
    <r>
      <rPr>
        <vertAlign val="subscript"/>
        <sz val="11"/>
        <color theme="1"/>
        <rFont val="Calibri"/>
        <family val="2"/>
        <scheme val="minor"/>
      </rPr>
      <t>v</t>
    </r>
  </si>
  <si>
    <r>
      <t>S</t>
    </r>
    <r>
      <rPr>
        <vertAlign val="subscript"/>
        <sz val="11"/>
        <color theme="1"/>
        <rFont val="Calibri"/>
        <family val="2"/>
        <scheme val="minor"/>
      </rPr>
      <t>1</t>
    </r>
    <r>
      <rPr>
        <sz val="11"/>
        <color theme="1"/>
        <rFont val="Calibri"/>
        <family val="2"/>
        <scheme val="minor"/>
      </rPr>
      <t xml:space="preserve"> &lt;=</t>
    </r>
  </si>
  <si>
    <r>
      <t>S</t>
    </r>
    <r>
      <rPr>
        <vertAlign val="subscript"/>
        <sz val="11"/>
        <color theme="1"/>
        <rFont val="Calibri"/>
        <family val="2"/>
        <scheme val="minor"/>
      </rPr>
      <t>1</t>
    </r>
    <r>
      <rPr>
        <sz val="11"/>
        <color theme="1"/>
        <rFont val="Calibri"/>
        <family val="2"/>
        <scheme val="minor"/>
      </rPr>
      <t xml:space="preserve"> =</t>
    </r>
  </si>
  <si>
    <r>
      <t>S</t>
    </r>
    <r>
      <rPr>
        <vertAlign val="subscript"/>
        <sz val="11"/>
        <color theme="1"/>
        <rFont val="Calibri"/>
        <family val="2"/>
        <scheme val="minor"/>
      </rPr>
      <t>1</t>
    </r>
    <r>
      <rPr>
        <sz val="11"/>
        <color theme="1"/>
        <rFont val="Calibri"/>
        <family val="2"/>
        <scheme val="minor"/>
      </rPr>
      <t xml:space="preserve"> &gt;=</t>
    </r>
  </si>
  <si>
    <r>
      <t>F</t>
    </r>
    <r>
      <rPr>
        <vertAlign val="subscript"/>
        <sz val="11"/>
        <color theme="9" tint="-0.249977111117893"/>
        <rFont val="Calibri"/>
        <family val="2"/>
        <scheme val="minor"/>
      </rPr>
      <t>a</t>
    </r>
    <r>
      <rPr>
        <sz val="11"/>
        <color theme="9" tint="-0.249977111117893"/>
        <rFont val="Calibri"/>
        <family val="2"/>
        <scheme val="minor"/>
      </rPr>
      <t xml:space="preserve"> = </t>
    </r>
  </si>
  <si>
    <r>
      <t>F</t>
    </r>
    <r>
      <rPr>
        <vertAlign val="subscript"/>
        <sz val="11"/>
        <color theme="9" tint="-0.249977111117893"/>
        <rFont val="Calibri"/>
        <family val="2"/>
        <scheme val="minor"/>
      </rPr>
      <t>v</t>
    </r>
    <r>
      <rPr>
        <sz val="11"/>
        <color theme="9" tint="-0.249977111117893"/>
        <rFont val="Calibri"/>
        <family val="2"/>
        <scheme val="minor"/>
      </rPr>
      <t xml:space="preserve"> = </t>
    </r>
  </si>
  <si>
    <r>
      <t>T</t>
    </r>
    <r>
      <rPr>
        <vertAlign val="subscript"/>
        <sz val="11"/>
        <color theme="1"/>
        <rFont val="Calibri"/>
        <family val="2"/>
        <scheme val="minor"/>
      </rPr>
      <t>L</t>
    </r>
  </si>
  <si>
    <t>s</t>
  </si>
  <si>
    <t>I</t>
  </si>
  <si>
    <t>ASCE 7-10 (p.4), T 1.5-2, Importance Factors</t>
  </si>
  <si>
    <t>II</t>
  </si>
  <si>
    <t>IV</t>
  </si>
  <si>
    <t>Snow</t>
  </si>
  <si>
    <t>Ice</t>
  </si>
  <si>
    <r>
      <t>I</t>
    </r>
    <r>
      <rPr>
        <vertAlign val="subscript"/>
        <sz val="11"/>
        <color theme="1"/>
        <rFont val="Calibri"/>
        <family val="2"/>
        <scheme val="minor"/>
      </rPr>
      <t>s</t>
    </r>
  </si>
  <si>
    <r>
      <t>I</t>
    </r>
    <r>
      <rPr>
        <vertAlign val="subscript"/>
        <sz val="11"/>
        <color theme="1"/>
        <rFont val="Calibri"/>
        <family val="2"/>
        <scheme val="minor"/>
      </rPr>
      <t>i</t>
    </r>
  </si>
  <si>
    <r>
      <t>I</t>
    </r>
    <r>
      <rPr>
        <vertAlign val="subscript"/>
        <sz val="11"/>
        <color theme="1"/>
        <rFont val="Calibri"/>
        <family val="2"/>
        <scheme val="minor"/>
      </rPr>
      <t>w</t>
    </r>
  </si>
  <si>
    <r>
      <t>I</t>
    </r>
    <r>
      <rPr>
        <vertAlign val="subscript"/>
        <sz val="11"/>
        <color theme="1"/>
        <rFont val="Calibri"/>
        <family val="2"/>
        <scheme val="minor"/>
      </rPr>
      <t>e</t>
    </r>
  </si>
  <si>
    <t>Wind</t>
  </si>
  <si>
    <t>Seismic</t>
  </si>
  <si>
    <t>=</t>
  </si>
  <si>
    <t>Variable</t>
  </si>
  <si>
    <t>Value</t>
  </si>
  <si>
    <t>Unit</t>
  </si>
  <si>
    <t>Page</t>
  </si>
  <si>
    <t>T 1.5-1</t>
  </si>
  <si>
    <t>T 1.5-2</t>
  </si>
  <si>
    <t>§ 11.4.1</t>
  </si>
  <si>
    <t>§ 11.4.2</t>
  </si>
  <si>
    <t>T 11.4.2</t>
  </si>
  <si>
    <t>T 11.4.1</t>
  </si>
  <si>
    <t>EQ 11.4-1</t>
  </si>
  <si>
    <t>EQ 11.4-2</t>
  </si>
  <si>
    <t>EQ 11.4-3</t>
  </si>
  <si>
    <t>EQ 11.4-4</t>
  </si>
  <si>
    <t>170-171</t>
  </si>
  <si>
    <t>F 22-12</t>
  </si>
  <si>
    <t>Reference</t>
  </si>
  <si>
    <t>R</t>
  </si>
  <si>
    <r>
      <rPr>
        <sz val="11"/>
        <color theme="1"/>
        <rFont val="GreekC"/>
      </rPr>
      <t>W</t>
    </r>
    <r>
      <rPr>
        <vertAlign val="subscript"/>
        <sz val="11"/>
        <color theme="1"/>
        <rFont val="Calibri"/>
        <family val="2"/>
        <scheme val="minor"/>
      </rPr>
      <t>0</t>
    </r>
  </si>
  <si>
    <r>
      <t>C</t>
    </r>
    <r>
      <rPr>
        <vertAlign val="subscript"/>
        <sz val="11"/>
        <color theme="1"/>
        <rFont val="Calibri"/>
        <family val="2"/>
        <scheme val="minor"/>
      </rPr>
      <t>d</t>
    </r>
  </si>
  <si>
    <t>Pages</t>
  </si>
  <si>
    <t>60-62</t>
  </si>
  <si>
    <t>108-109</t>
  </si>
  <si>
    <t>Ref</t>
  </si>
  <si>
    <t>ASCE 7-10 Tables</t>
  </si>
  <si>
    <t>System</t>
  </si>
  <si>
    <t>x</t>
  </si>
  <si>
    <r>
      <t>h</t>
    </r>
    <r>
      <rPr>
        <vertAlign val="subscript"/>
        <sz val="11"/>
        <color theme="1"/>
        <rFont val="Calibri"/>
        <family val="2"/>
        <scheme val="minor"/>
      </rPr>
      <t>n</t>
    </r>
  </si>
  <si>
    <r>
      <t>C</t>
    </r>
    <r>
      <rPr>
        <vertAlign val="subscript"/>
        <sz val="11"/>
        <color theme="1"/>
        <rFont val="Calibri"/>
        <family val="2"/>
        <scheme val="minor"/>
      </rPr>
      <t>t</t>
    </r>
  </si>
  <si>
    <r>
      <t>T</t>
    </r>
    <r>
      <rPr>
        <vertAlign val="subscript"/>
        <sz val="11"/>
        <color theme="1"/>
        <rFont val="Calibri"/>
        <family val="2"/>
        <scheme val="minor"/>
      </rPr>
      <t>a</t>
    </r>
  </si>
  <si>
    <t>Other</t>
  </si>
  <si>
    <t>T 12.8-2</t>
  </si>
  <si>
    <t>SMRF</t>
  </si>
  <si>
    <t>CMRF</t>
  </si>
  <si>
    <t>SEBF</t>
  </si>
  <si>
    <t>SBRBF</t>
  </si>
  <si>
    <t>Steel eccentrically braced frame</t>
  </si>
  <si>
    <t>Steel buckling-restrained braced frame</t>
  </si>
  <si>
    <t>All other structural systems</t>
  </si>
  <si>
    <t>Steel moment-resisting frame</t>
  </si>
  <si>
    <t>Concrete moment-resisting frame</t>
  </si>
  <si>
    <t>Code</t>
  </si>
  <si>
    <t>Description</t>
  </si>
  <si>
    <r>
      <t>ASCE 7-10 (p.72) T 12.8-2, C</t>
    </r>
    <r>
      <rPr>
        <vertAlign val="subscript"/>
        <sz val="11"/>
        <color theme="1"/>
        <rFont val="Calibri"/>
        <family val="2"/>
        <scheme val="minor"/>
      </rPr>
      <t>t</t>
    </r>
    <r>
      <rPr>
        <sz val="11"/>
        <color theme="1"/>
        <rFont val="Calibri"/>
        <family val="2"/>
        <scheme val="minor"/>
      </rPr>
      <t>, &amp; x</t>
    </r>
  </si>
  <si>
    <t>ft</t>
  </si>
  <si>
    <t>§ 12.8.2.1</t>
  </si>
  <si>
    <t>EQ 12.8.7</t>
  </si>
  <si>
    <t>sec</t>
  </si>
  <si>
    <r>
      <t>T</t>
    </r>
    <r>
      <rPr>
        <vertAlign val="subscript"/>
        <sz val="11"/>
        <color theme="1"/>
        <rFont val="Calibri"/>
        <family val="2"/>
        <scheme val="minor"/>
      </rPr>
      <t>0</t>
    </r>
  </si>
  <si>
    <r>
      <t>T</t>
    </r>
    <r>
      <rPr>
        <vertAlign val="subscript"/>
        <sz val="11"/>
        <color theme="1"/>
        <rFont val="Calibri"/>
        <family val="2"/>
        <scheme val="minor"/>
      </rPr>
      <t>s</t>
    </r>
  </si>
  <si>
    <t>§ 11.4.5</t>
  </si>
  <si>
    <t>ASCE 7-10 Environmetal Loading Calculations</t>
  </si>
  <si>
    <t>ASCE 7-10 Calculation Tables</t>
  </si>
  <si>
    <r>
      <t>ASCE 7-10 (p.56), T 11.6-1), SDC based on S</t>
    </r>
    <r>
      <rPr>
        <vertAlign val="subscript"/>
        <sz val="11"/>
        <color theme="1"/>
        <rFont val="Calibri"/>
        <family val="2"/>
        <scheme val="minor"/>
      </rPr>
      <t>DS</t>
    </r>
  </si>
  <si>
    <r>
      <t>S</t>
    </r>
    <r>
      <rPr>
        <vertAlign val="subscript"/>
        <sz val="11"/>
        <color theme="1"/>
        <rFont val="Calibri"/>
        <family val="2"/>
        <scheme val="minor"/>
      </rPr>
      <t>DS</t>
    </r>
    <r>
      <rPr>
        <sz val="11"/>
        <color theme="1"/>
        <rFont val="Calibri"/>
        <family val="2"/>
        <scheme val="minor"/>
      </rPr>
      <t xml:space="preserve"> &lt; 0.167</t>
    </r>
  </si>
  <si>
    <r>
      <t>0.167 ≤ S</t>
    </r>
    <r>
      <rPr>
        <vertAlign val="subscript"/>
        <sz val="11"/>
        <color theme="1"/>
        <rFont val="Calibri"/>
        <family val="2"/>
        <scheme val="minor"/>
      </rPr>
      <t>DS</t>
    </r>
    <r>
      <rPr>
        <sz val="11"/>
        <color theme="1"/>
        <rFont val="Calibri"/>
        <family val="2"/>
        <scheme val="minor"/>
      </rPr>
      <t xml:space="preserve"> &lt; 0.33</t>
    </r>
  </si>
  <si>
    <r>
      <t>0.33 ≤ S</t>
    </r>
    <r>
      <rPr>
        <vertAlign val="subscript"/>
        <sz val="11"/>
        <color theme="1"/>
        <rFont val="Calibri"/>
        <family val="2"/>
        <scheme val="minor"/>
      </rPr>
      <t>DS</t>
    </r>
    <r>
      <rPr>
        <sz val="11"/>
        <color theme="1"/>
        <rFont val="Calibri"/>
        <family val="2"/>
        <scheme val="minor"/>
      </rPr>
      <t xml:space="preserve"> &lt; 0.50</t>
    </r>
  </si>
  <si>
    <r>
      <t>0.50 ≤ S</t>
    </r>
    <r>
      <rPr>
        <vertAlign val="subscript"/>
        <sz val="11"/>
        <color theme="1"/>
        <rFont val="Calibri"/>
        <family val="2"/>
        <scheme val="minor"/>
      </rPr>
      <t>DS</t>
    </r>
    <r>
      <rPr>
        <sz val="11"/>
        <color theme="1"/>
        <rFont val="Calibri"/>
        <family val="2"/>
        <scheme val="minor"/>
      </rPr>
      <t xml:space="preserve"> </t>
    </r>
  </si>
  <si>
    <t>POINTS</t>
  </si>
  <si>
    <r>
      <t>ASCE 7-10 (p.56), T 11.6-2), SDC based on S</t>
    </r>
    <r>
      <rPr>
        <vertAlign val="subscript"/>
        <sz val="11"/>
        <color theme="1"/>
        <rFont val="Calibri"/>
        <family val="2"/>
        <scheme val="minor"/>
      </rPr>
      <t>D1</t>
    </r>
  </si>
  <si>
    <r>
      <t>S</t>
    </r>
    <r>
      <rPr>
        <vertAlign val="subscript"/>
        <sz val="11"/>
        <color theme="1"/>
        <rFont val="Calibri"/>
        <family val="2"/>
        <scheme val="minor"/>
      </rPr>
      <t>D1</t>
    </r>
    <r>
      <rPr>
        <sz val="11"/>
        <color theme="1"/>
        <rFont val="Calibri"/>
        <family val="2"/>
        <scheme val="minor"/>
      </rPr>
      <t xml:space="preserve"> &lt; 0.067</t>
    </r>
  </si>
  <si>
    <r>
      <t>0.067 ≤ S</t>
    </r>
    <r>
      <rPr>
        <vertAlign val="subscript"/>
        <sz val="11"/>
        <color theme="1"/>
        <rFont val="Calibri"/>
        <family val="2"/>
        <scheme val="minor"/>
      </rPr>
      <t>D1</t>
    </r>
    <r>
      <rPr>
        <sz val="11"/>
        <color theme="1"/>
        <rFont val="Calibri"/>
        <family val="2"/>
        <scheme val="minor"/>
      </rPr>
      <t xml:space="preserve"> &lt; 0.133</t>
    </r>
  </si>
  <si>
    <r>
      <t>0.133 ≤ S</t>
    </r>
    <r>
      <rPr>
        <vertAlign val="subscript"/>
        <sz val="11"/>
        <color theme="1"/>
        <rFont val="Calibri"/>
        <family val="2"/>
        <scheme val="minor"/>
      </rPr>
      <t>D1</t>
    </r>
    <r>
      <rPr>
        <sz val="11"/>
        <color theme="1"/>
        <rFont val="Calibri"/>
        <family val="2"/>
        <scheme val="minor"/>
      </rPr>
      <t xml:space="preserve"> &lt; 0.20</t>
    </r>
  </si>
  <si>
    <r>
      <t>0.20 ≤ S</t>
    </r>
    <r>
      <rPr>
        <vertAlign val="subscript"/>
        <sz val="11"/>
        <color theme="1"/>
        <rFont val="Calibri"/>
        <family val="2"/>
        <scheme val="minor"/>
      </rPr>
      <t>D1</t>
    </r>
    <r>
      <rPr>
        <sz val="11"/>
        <color theme="1"/>
        <rFont val="Calibri"/>
        <family val="2"/>
        <scheme val="minor"/>
      </rPr>
      <t xml:space="preserve"> </t>
    </r>
  </si>
  <si>
    <t>SDC</t>
  </si>
  <si>
    <t>WORST =&gt;</t>
  </si>
  <si>
    <r>
      <t>S</t>
    </r>
    <r>
      <rPr>
        <vertAlign val="subscript"/>
        <sz val="11"/>
        <color theme="9" tint="-0.249977111117893"/>
        <rFont val="Calibri"/>
        <family val="2"/>
        <scheme val="minor"/>
      </rPr>
      <t>1</t>
    </r>
    <r>
      <rPr>
        <sz val="11"/>
        <color theme="9" tint="-0.249977111117893"/>
        <rFont val="Calibri"/>
        <family val="2"/>
        <scheme val="minor"/>
      </rPr>
      <t xml:space="preserve"> = </t>
    </r>
  </si>
  <si>
    <t>§ 11.6</t>
  </si>
  <si>
    <t>r</t>
  </si>
  <si>
    <t>§ 12.3.4</t>
  </si>
  <si>
    <r>
      <t>ASCE 7-10 (p.71), § 12.8.1, Base Shear Coefficient, C</t>
    </r>
    <r>
      <rPr>
        <vertAlign val="subscript"/>
        <sz val="11"/>
        <color theme="1"/>
        <rFont val="Calibri"/>
        <family val="2"/>
        <scheme val="minor"/>
      </rPr>
      <t>s</t>
    </r>
  </si>
  <si>
    <t>Conditions</t>
  </si>
  <si>
    <t>T</t>
  </si>
  <si>
    <t>§ 12.8.2</t>
  </si>
  <si>
    <r>
      <t>C</t>
    </r>
    <r>
      <rPr>
        <vertAlign val="subscript"/>
        <sz val="11"/>
        <color theme="1"/>
        <rFont val="Calibri"/>
        <family val="2"/>
        <scheme val="minor"/>
      </rPr>
      <t>s</t>
    </r>
  </si>
  <si>
    <t>§ 12.8.1</t>
  </si>
  <si>
    <t>Method</t>
  </si>
  <si>
    <t>ELFP</t>
  </si>
  <si>
    <t>T 12.6-1</t>
  </si>
  <si>
    <t>Permit</t>
  </si>
  <si>
    <t>ASCE 7-10 (p.71), T 12.6-1, Permitted Analytical Procedures</t>
  </si>
  <si>
    <t>MRSA</t>
  </si>
  <si>
    <t>SRHP</t>
  </si>
  <si>
    <t>P</t>
  </si>
  <si>
    <t>P*</t>
  </si>
  <si>
    <t>Procedure is permitted</t>
  </si>
  <si>
    <t>Procedure permitted but must meet conditions per T 12.6-1</t>
  </si>
  <si>
    <t>Equivalent Lateral Force Procedure, § 12.8</t>
  </si>
  <si>
    <t>Modal Response Spectrum Analysis, § 12.9</t>
  </si>
  <si>
    <t>Seismic Response History Procedures, Chapter 16</t>
  </si>
  <si>
    <t>SDC A</t>
  </si>
  <si>
    <t xml:space="preserve">Since SDC A, comply only with § 1.4 (p.3). </t>
  </si>
  <si>
    <t>SEISMIC</t>
  </si>
  <si>
    <t xml:space="preserve">Job #: </t>
  </si>
  <si>
    <t xml:space="preserve">Location: </t>
  </si>
  <si>
    <t xml:space="preserve">Coord: </t>
  </si>
  <si>
    <t>WIND</t>
  </si>
  <si>
    <t>V</t>
  </si>
  <si>
    <r>
      <t>K</t>
    </r>
    <r>
      <rPr>
        <vertAlign val="subscript"/>
        <sz val="11"/>
        <color theme="1"/>
        <rFont val="Calibri"/>
        <family val="2"/>
        <scheme val="minor"/>
      </rPr>
      <t>d</t>
    </r>
  </si>
  <si>
    <r>
      <t>K</t>
    </r>
    <r>
      <rPr>
        <vertAlign val="subscript"/>
        <sz val="11"/>
        <color theme="1"/>
        <rFont val="Calibri"/>
        <family val="2"/>
        <scheme val="minor"/>
      </rPr>
      <t>1</t>
    </r>
  </si>
  <si>
    <r>
      <t>K</t>
    </r>
    <r>
      <rPr>
        <vertAlign val="subscript"/>
        <sz val="11"/>
        <color theme="1"/>
        <rFont val="Calibri"/>
        <family val="2"/>
        <scheme val="minor"/>
      </rPr>
      <t>2</t>
    </r>
  </si>
  <si>
    <r>
      <t>K</t>
    </r>
    <r>
      <rPr>
        <vertAlign val="subscript"/>
        <sz val="11"/>
        <color theme="1"/>
        <rFont val="Calibri"/>
        <family val="2"/>
        <scheme val="minor"/>
      </rPr>
      <t>3</t>
    </r>
  </si>
  <si>
    <r>
      <t>K</t>
    </r>
    <r>
      <rPr>
        <vertAlign val="subscript"/>
        <sz val="11"/>
        <color theme="1"/>
        <rFont val="Calibri"/>
        <family val="2"/>
        <scheme val="minor"/>
      </rPr>
      <t>zt</t>
    </r>
  </si>
  <si>
    <t>mph</t>
  </si>
  <si>
    <t>191a-193b</t>
  </si>
  <si>
    <t>196-197</t>
  </si>
  <si>
    <t>195, 198</t>
  </si>
  <si>
    <t>F 26.8-1</t>
  </si>
  <si>
    <t>§ 26.8</t>
  </si>
  <si>
    <t>ASCE 7-10 Environmetal Loading Calculations (cont.)</t>
  </si>
  <si>
    <t>Height above ground level, z</t>
  </si>
  <si>
    <t>Exposure</t>
  </si>
  <si>
    <r>
      <t>K</t>
    </r>
    <r>
      <rPr>
        <vertAlign val="subscript"/>
        <sz val="11"/>
        <rFont val="Calibri"/>
        <family val="2"/>
      </rPr>
      <t>z</t>
    </r>
  </si>
  <si>
    <r>
      <t>q</t>
    </r>
    <r>
      <rPr>
        <vertAlign val="subscript"/>
        <sz val="11"/>
        <rFont val="Calibri"/>
        <family val="2"/>
      </rPr>
      <t>z</t>
    </r>
  </si>
  <si>
    <r>
      <t>F</t>
    </r>
    <r>
      <rPr>
        <vertAlign val="subscript"/>
        <sz val="11"/>
        <rFont val="Calibri"/>
        <family val="2"/>
      </rPr>
      <t>z</t>
    </r>
  </si>
  <si>
    <t>[ft]</t>
  </si>
  <si>
    <t>[m]</t>
  </si>
  <si>
    <t>[psf]</t>
  </si>
  <si>
    <t>Sheltered</t>
  </si>
  <si>
    <t>Risk Cat.</t>
  </si>
  <si>
    <t xml:space="preserve">Risk Cat = </t>
  </si>
  <si>
    <t>SNOW</t>
  </si>
  <si>
    <t>T 26.6-1</t>
  </si>
  <si>
    <t>§ 26.8.2</t>
  </si>
  <si>
    <t>EXP</t>
  </si>
  <si>
    <t>G</t>
  </si>
  <si>
    <t>195, 544</t>
  </si>
  <si>
    <t>§ 26.7.3</t>
  </si>
  <si>
    <t>§ 26.9</t>
  </si>
  <si>
    <t>F 29.5-1</t>
  </si>
  <si>
    <t>h</t>
  </si>
  <si>
    <r>
      <t>ASCE 7-10 (p.251) T 29.3-1, K</t>
    </r>
    <r>
      <rPr>
        <vertAlign val="subscript"/>
        <sz val="11"/>
        <color theme="1"/>
        <rFont val="Calibri"/>
        <family val="2"/>
        <scheme val="minor"/>
      </rPr>
      <t>h</t>
    </r>
    <r>
      <rPr>
        <sz val="11"/>
        <color theme="1"/>
        <rFont val="Calibri"/>
        <family val="2"/>
        <scheme val="minor"/>
      </rPr>
      <t xml:space="preserve"> &amp; K</t>
    </r>
    <r>
      <rPr>
        <vertAlign val="subscript"/>
        <sz val="11"/>
        <color theme="1"/>
        <rFont val="Calibri"/>
        <family val="2"/>
        <scheme val="minor"/>
      </rPr>
      <t>z</t>
    </r>
  </si>
  <si>
    <t>(1)</t>
  </si>
  <si>
    <t>(2)</t>
  </si>
  <si>
    <t>(3)</t>
  </si>
  <si>
    <t>(2) per EQN 29.3-1, (p.249)</t>
  </si>
  <si>
    <t>(1) per T 29.3-1, (p.251)</t>
  </si>
  <si>
    <t>[-]</t>
  </si>
  <si>
    <r>
      <t>ASCE 7-10 (p.252-255) Force Coefficients, C</t>
    </r>
    <r>
      <rPr>
        <vertAlign val="subscript"/>
        <sz val="11"/>
        <color theme="1"/>
        <rFont val="Calibri"/>
        <family val="2"/>
        <scheme val="minor"/>
      </rPr>
      <t>f</t>
    </r>
  </si>
  <si>
    <t>F 29.4-1</t>
  </si>
  <si>
    <t>F 29.5-2</t>
  </si>
  <si>
    <t>F 29.5-3</t>
  </si>
  <si>
    <t>Solid Freestanding Walls &amp; Signs</t>
  </si>
  <si>
    <t>Chimneys, Tanks, Rooftop Equip., &amp; Similar Struc.</t>
  </si>
  <si>
    <t>Open Signs &amp; Lattice Frameworks</t>
  </si>
  <si>
    <t>Trussed Towers</t>
  </si>
  <si>
    <t>Figure</t>
  </si>
  <si>
    <t>page</t>
  </si>
  <si>
    <t>Item</t>
  </si>
  <si>
    <t>(4)</t>
  </si>
  <si>
    <t>h/D</t>
  </si>
  <si>
    <t>(5)</t>
  </si>
  <si>
    <t>§ 7.2</t>
  </si>
  <si>
    <t>T 7-2</t>
  </si>
  <si>
    <t>T 7-3</t>
  </si>
  <si>
    <t>EQN 7.3-1</t>
  </si>
  <si>
    <t>EQN 7.4-1</t>
  </si>
  <si>
    <r>
      <t>p</t>
    </r>
    <r>
      <rPr>
        <vertAlign val="subscript"/>
        <sz val="11"/>
        <color theme="1"/>
        <rFont val="Calibri"/>
        <family val="2"/>
        <scheme val="minor"/>
      </rPr>
      <t>g</t>
    </r>
  </si>
  <si>
    <r>
      <t>C</t>
    </r>
    <r>
      <rPr>
        <vertAlign val="subscript"/>
        <sz val="11"/>
        <color theme="1"/>
        <rFont val="Calibri"/>
        <family val="2"/>
        <scheme val="minor"/>
      </rPr>
      <t>e</t>
    </r>
  </si>
  <si>
    <r>
      <t>p</t>
    </r>
    <r>
      <rPr>
        <vertAlign val="subscript"/>
        <sz val="11"/>
        <color theme="1"/>
        <rFont val="Calibri"/>
        <family val="2"/>
        <scheme val="minor"/>
      </rPr>
      <t>f</t>
    </r>
  </si>
  <si>
    <r>
      <t>p</t>
    </r>
    <r>
      <rPr>
        <vertAlign val="subscript"/>
        <sz val="11"/>
        <color theme="1"/>
        <rFont val="Calibri"/>
        <family val="2"/>
        <scheme val="minor"/>
      </rPr>
      <t>m</t>
    </r>
  </si>
  <si>
    <t>psf</t>
  </si>
  <si>
    <t>Fully Exposed</t>
  </si>
  <si>
    <r>
      <t>ASCE 7-10 (p.24), T 7-2, Exposure Factor, C</t>
    </r>
    <r>
      <rPr>
        <vertAlign val="subscript"/>
        <sz val="11"/>
        <color theme="1"/>
        <rFont val="Calibri"/>
        <family val="2"/>
        <scheme val="minor"/>
      </rPr>
      <t>e</t>
    </r>
  </si>
  <si>
    <t>Partially Exposed</t>
  </si>
  <si>
    <r>
      <t>ASCE 7-10 (p.23), §7.3.4, Min. Snow Load for Low-Slope Roofs, p</t>
    </r>
    <r>
      <rPr>
        <vertAlign val="subscript"/>
        <sz val="11"/>
        <color theme="1"/>
        <rFont val="Calibri"/>
        <family val="2"/>
        <scheme val="minor"/>
      </rPr>
      <t>m</t>
    </r>
  </si>
  <si>
    <r>
      <t>p</t>
    </r>
    <r>
      <rPr>
        <vertAlign val="subscript"/>
        <sz val="11"/>
        <color theme="1"/>
        <rFont val="Calibri"/>
        <family val="2"/>
        <scheme val="minor"/>
      </rPr>
      <t>g</t>
    </r>
    <r>
      <rPr>
        <sz val="11"/>
        <color theme="1"/>
        <rFont val="Calibri"/>
        <family val="2"/>
        <scheme val="minor"/>
      </rPr>
      <t xml:space="preserve"> ≤ 20 psf</t>
    </r>
  </si>
  <si>
    <r>
      <t>p</t>
    </r>
    <r>
      <rPr>
        <vertAlign val="subscript"/>
        <sz val="11"/>
        <color theme="1"/>
        <rFont val="Calibri"/>
        <family val="2"/>
        <scheme val="minor"/>
      </rPr>
      <t>g</t>
    </r>
    <r>
      <rPr>
        <sz val="11"/>
        <color theme="1"/>
        <rFont val="Calibri"/>
        <family val="2"/>
        <scheme val="minor"/>
      </rPr>
      <t xml:space="preserve"> &gt; 20 psf</t>
    </r>
  </si>
  <si>
    <r>
      <t>p</t>
    </r>
    <r>
      <rPr>
        <vertAlign val="subscript"/>
        <sz val="11"/>
        <color theme="1"/>
        <rFont val="Calibri"/>
        <family val="2"/>
        <scheme val="minor"/>
      </rPr>
      <t>m</t>
    </r>
    <r>
      <rPr>
        <sz val="11"/>
        <color theme="1"/>
        <rFont val="Calibri"/>
        <family val="2"/>
        <scheme val="minor"/>
      </rPr>
      <t xml:space="preserve"> = </t>
    </r>
  </si>
  <si>
    <t>Load</t>
  </si>
  <si>
    <t>T/F</t>
  </si>
  <si>
    <r>
      <t>p</t>
    </r>
    <r>
      <rPr>
        <vertAlign val="subscript"/>
        <sz val="11"/>
        <color theme="1"/>
        <rFont val="Calibri"/>
        <family val="2"/>
        <scheme val="minor"/>
      </rPr>
      <t>s</t>
    </r>
  </si>
  <si>
    <t>§ 7.3.4</t>
  </si>
  <si>
    <t>rise</t>
  </si>
  <si>
    <t>run</t>
  </si>
  <si>
    <t>slope</t>
  </si>
  <si>
    <t>deg</t>
  </si>
  <si>
    <t>Roof Type</t>
  </si>
  <si>
    <t>§ 7.4.1 to 4</t>
  </si>
  <si>
    <t>24, 29</t>
  </si>
  <si>
    <t>Monoslope</t>
  </si>
  <si>
    <t>Hip</t>
  </si>
  <si>
    <t>Gable</t>
  </si>
  <si>
    <t>Min Slope</t>
  </si>
  <si>
    <t>Curved</t>
  </si>
  <si>
    <t>Risk</t>
  </si>
  <si>
    <t>Cat.</t>
  </si>
  <si>
    <t>Class</t>
  </si>
  <si>
    <t>&lt; min slope?</t>
  </si>
  <si>
    <r>
      <t>0 ≤ T</t>
    </r>
    <r>
      <rPr>
        <sz val="11"/>
        <color theme="1"/>
        <rFont val="Calibri"/>
        <family val="2"/>
        <scheme val="minor"/>
      </rPr>
      <t xml:space="preserve"> &lt; T</t>
    </r>
    <r>
      <rPr>
        <vertAlign val="subscript"/>
        <sz val="11"/>
        <color theme="1"/>
        <rFont val="Calibri"/>
        <family val="2"/>
        <scheme val="minor"/>
      </rPr>
      <t>0</t>
    </r>
  </si>
  <si>
    <r>
      <t>T</t>
    </r>
    <r>
      <rPr>
        <vertAlign val="subscript"/>
        <sz val="11"/>
        <color theme="1"/>
        <rFont val="Calibri"/>
        <family val="2"/>
        <scheme val="minor"/>
      </rPr>
      <t>0</t>
    </r>
    <r>
      <rPr>
        <sz val="11"/>
        <color theme="1"/>
        <rFont val="Calibri"/>
        <family val="2"/>
        <scheme val="minor"/>
      </rPr>
      <t xml:space="preserve"> ≤ T</t>
    </r>
    <r>
      <rPr>
        <sz val="11"/>
        <color theme="1"/>
        <rFont val="Calibri"/>
        <family val="2"/>
        <scheme val="minor"/>
      </rPr>
      <t xml:space="preserve"> &lt; T</t>
    </r>
    <r>
      <rPr>
        <vertAlign val="subscript"/>
        <sz val="11"/>
        <color theme="1"/>
        <rFont val="Calibri"/>
        <family val="2"/>
        <scheme val="minor"/>
      </rPr>
      <t>s</t>
    </r>
  </si>
  <si>
    <r>
      <t>T</t>
    </r>
    <r>
      <rPr>
        <vertAlign val="subscript"/>
        <sz val="11"/>
        <color theme="1"/>
        <rFont val="Calibri"/>
        <family val="2"/>
        <scheme val="minor"/>
      </rPr>
      <t>s</t>
    </r>
    <r>
      <rPr>
        <sz val="11"/>
        <color theme="1"/>
        <rFont val="Calibri"/>
        <family val="2"/>
        <scheme val="minor"/>
      </rPr>
      <t xml:space="preserve"> ≤ T</t>
    </r>
    <r>
      <rPr>
        <sz val="11"/>
        <color theme="1"/>
        <rFont val="Calibri"/>
        <family val="2"/>
        <scheme val="minor"/>
      </rPr>
      <t xml:space="preserve"> &lt; T</t>
    </r>
    <r>
      <rPr>
        <vertAlign val="subscript"/>
        <sz val="11"/>
        <color theme="1"/>
        <rFont val="Calibri"/>
        <family val="2"/>
        <scheme val="minor"/>
      </rPr>
      <t>L</t>
    </r>
  </si>
  <si>
    <r>
      <t>T</t>
    </r>
    <r>
      <rPr>
        <vertAlign val="subscript"/>
        <sz val="11"/>
        <color theme="1"/>
        <rFont val="Calibri"/>
        <family val="2"/>
        <scheme val="minor"/>
      </rPr>
      <t>L</t>
    </r>
    <r>
      <rPr>
        <sz val="11"/>
        <color theme="1"/>
        <rFont val="Calibri"/>
        <family val="2"/>
        <scheme val="minor"/>
      </rPr>
      <t xml:space="preserve"> ≤ T</t>
    </r>
  </si>
  <si>
    <t>Limit</t>
  </si>
  <si>
    <r>
      <t>S</t>
    </r>
    <r>
      <rPr>
        <vertAlign val="subscript"/>
        <sz val="11"/>
        <color theme="1"/>
        <rFont val="Calibri"/>
        <family val="2"/>
        <scheme val="minor"/>
      </rPr>
      <t>1</t>
    </r>
    <r>
      <rPr>
        <sz val="11"/>
        <color theme="1"/>
        <rFont val="Calibri"/>
        <family val="2"/>
        <scheme val="minor"/>
      </rPr>
      <t xml:space="preserve"> ≥ 0.6g ?</t>
    </r>
  </si>
  <si>
    <r>
      <t>C</t>
    </r>
    <r>
      <rPr>
        <vertAlign val="subscript"/>
        <sz val="11"/>
        <color theme="1"/>
        <rFont val="Calibri"/>
        <family val="2"/>
        <scheme val="minor"/>
      </rPr>
      <t>s</t>
    </r>
    <r>
      <rPr>
        <sz val="11"/>
        <color theme="1"/>
        <rFont val="Calibri"/>
        <family val="2"/>
        <scheme val="minor"/>
      </rPr>
      <t xml:space="preserve"> = 0.044S</t>
    </r>
    <r>
      <rPr>
        <vertAlign val="subscript"/>
        <sz val="11"/>
        <color theme="1"/>
        <rFont val="Calibri"/>
        <family val="2"/>
        <scheme val="minor"/>
      </rPr>
      <t>DS</t>
    </r>
    <r>
      <rPr>
        <sz val="11"/>
        <color theme="1"/>
        <rFont val="Calibri"/>
        <family val="2"/>
        <scheme val="minor"/>
      </rPr>
      <t>I</t>
    </r>
    <r>
      <rPr>
        <vertAlign val="subscript"/>
        <sz val="11"/>
        <color theme="1"/>
        <rFont val="Calibri"/>
        <family val="2"/>
        <scheme val="minor"/>
      </rPr>
      <t>e</t>
    </r>
    <r>
      <rPr>
        <sz val="11"/>
        <color theme="1"/>
        <rFont val="Calibri"/>
        <family val="2"/>
        <scheme val="minor"/>
      </rPr>
      <t xml:space="preserve"> ≥ 0.01?</t>
    </r>
  </si>
  <si>
    <r>
      <t>C</t>
    </r>
    <r>
      <rPr>
        <vertAlign val="subscript"/>
        <sz val="11"/>
        <color theme="1"/>
        <rFont val="Calibri"/>
        <family val="2"/>
        <scheme val="minor"/>
      </rPr>
      <t>s</t>
    </r>
    <r>
      <rPr>
        <sz val="11"/>
        <color theme="1"/>
        <rFont val="Calibri"/>
        <family val="2"/>
        <scheme val="minor"/>
      </rPr>
      <t xml:space="preserve"> = 0.5S</t>
    </r>
    <r>
      <rPr>
        <vertAlign val="subscript"/>
        <sz val="11"/>
        <color theme="1"/>
        <rFont val="Calibri"/>
        <family val="2"/>
        <scheme val="minor"/>
      </rPr>
      <t>1</t>
    </r>
    <r>
      <rPr>
        <sz val="11"/>
        <color theme="1"/>
        <rFont val="Calibri"/>
        <family val="2"/>
        <scheme val="minor"/>
      </rPr>
      <t>/(R/I</t>
    </r>
    <r>
      <rPr>
        <vertAlign val="subscript"/>
        <sz val="11"/>
        <color theme="1"/>
        <rFont val="Calibri"/>
        <family val="2"/>
        <scheme val="minor"/>
      </rPr>
      <t>e</t>
    </r>
    <r>
      <rPr>
        <sz val="11"/>
        <color theme="1"/>
        <rFont val="Calibri"/>
        <family val="2"/>
        <scheme val="minor"/>
      </rPr>
      <t>)</t>
    </r>
  </si>
  <si>
    <t>s/h</t>
  </si>
  <si>
    <t>B/s</t>
  </si>
  <si>
    <t>x1</t>
  </si>
  <si>
    <t>x2</t>
  </si>
  <si>
    <t>y1</t>
  </si>
  <si>
    <t>y2</t>
  </si>
  <si>
    <t>X Row</t>
  </si>
  <si>
    <t>X Column</t>
  </si>
  <si>
    <r>
      <rPr>
        <sz val="11"/>
        <color theme="9" tint="-0.249977111117893"/>
        <rFont val="Calibri"/>
        <family val="2"/>
      </rPr>
      <t>C</t>
    </r>
    <r>
      <rPr>
        <vertAlign val="subscript"/>
        <sz val="11"/>
        <color theme="9" tint="-0.249977111117893"/>
        <rFont val="Calibri"/>
        <family val="2"/>
      </rPr>
      <t>f</t>
    </r>
    <r>
      <rPr>
        <sz val="11"/>
        <color theme="9" tint="-0.249977111117893"/>
        <rFont val="Calibri"/>
        <family val="2"/>
      </rPr>
      <t xml:space="preserve"> = </t>
    </r>
  </si>
  <si>
    <t>Linear Interpolation Template</t>
  </si>
  <si>
    <r>
      <t>ASCE 7-10 (p.252) F 29.4-1, C</t>
    </r>
    <r>
      <rPr>
        <vertAlign val="subscript"/>
        <sz val="11"/>
        <color theme="1"/>
        <rFont val="Calibri"/>
        <family val="2"/>
        <scheme val="minor"/>
      </rPr>
      <t>f</t>
    </r>
  </si>
  <si>
    <r>
      <t>C</t>
    </r>
    <r>
      <rPr>
        <vertAlign val="subscript"/>
        <sz val="11"/>
        <rFont val="Calibri"/>
        <family val="2"/>
      </rPr>
      <t>f</t>
    </r>
  </si>
  <si>
    <t>Notes</t>
  </si>
  <si>
    <t>(4) per EQN 29.4-1, (p.249)</t>
  </si>
  <si>
    <t>(3) per F 29.4-1, (p.252)</t>
  </si>
  <si>
    <t>Square (wind normal to face)</t>
  </si>
  <si>
    <t>Square (wind along diagonal)</t>
  </si>
  <si>
    <t>Hexagonal or octagonal</t>
  </si>
  <si>
    <t>D'</t>
  </si>
  <si>
    <r>
      <t>q</t>
    </r>
    <r>
      <rPr>
        <vertAlign val="subscript"/>
        <sz val="11"/>
        <color theme="1"/>
        <rFont val="Calibri"/>
        <family val="2"/>
        <scheme val="minor"/>
      </rPr>
      <t>h</t>
    </r>
  </si>
  <si>
    <r>
      <t>D(q</t>
    </r>
    <r>
      <rPr>
        <vertAlign val="subscript"/>
        <sz val="11"/>
        <color theme="1"/>
        <rFont val="Calibri"/>
        <family val="2"/>
        <scheme val="minor"/>
      </rPr>
      <t>z</t>
    </r>
    <r>
      <rPr>
        <sz val="11"/>
        <color theme="1"/>
        <rFont val="Calibri"/>
        <family val="2"/>
        <scheme val="minor"/>
      </rPr>
      <t>)</t>
    </r>
    <r>
      <rPr>
        <vertAlign val="superscript"/>
        <sz val="11"/>
        <color theme="1"/>
        <rFont val="Calibri"/>
        <family val="2"/>
        <scheme val="minor"/>
      </rPr>
      <t>0.5</t>
    </r>
  </si>
  <si>
    <t>D'/D</t>
  </si>
  <si>
    <t>Round (&lt;=2.5)</t>
  </si>
  <si>
    <t>All</t>
  </si>
  <si>
    <t>Round (&gt;2.5) D'/D = 0</t>
  </si>
  <si>
    <t>Round (&gt;2.5) D'/D = 0.2</t>
  </si>
  <si>
    <t>Round (&gt;2.5) D'/D = 0.8</t>
  </si>
  <si>
    <r>
      <t>C</t>
    </r>
    <r>
      <rPr>
        <vertAlign val="subscript"/>
        <sz val="11"/>
        <color theme="9" tint="-0.249977111117893"/>
        <rFont val="Calibri"/>
        <family val="2"/>
        <scheme val="minor"/>
      </rPr>
      <t>f</t>
    </r>
    <r>
      <rPr>
        <sz val="11"/>
        <color theme="9" tint="-0.249977111117893"/>
        <rFont val="Calibri"/>
        <family val="2"/>
        <scheme val="minor"/>
      </rPr>
      <t xml:space="preserve"> = </t>
    </r>
  </si>
  <si>
    <t>(3) per F 29.5-1, (p.253)</t>
  </si>
  <si>
    <t>(4) per F 29.5-1, (p.253)</t>
  </si>
  <si>
    <t>(5) per EQN 29.5-1, (p.250)</t>
  </si>
  <si>
    <t>Cross-Section</t>
  </si>
  <si>
    <t>Surface</t>
  </si>
  <si>
    <t>Type</t>
  </si>
  <si>
    <t>Gravity Load Estimation</t>
  </si>
  <si>
    <t>Roof Pitch</t>
  </si>
  <si>
    <t>Rise</t>
  </si>
  <si>
    <t>Run</t>
  </si>
  <si>
    <t>Factor</t>
  </si>
  <si>
    <t>Flat</t>
  </si>
  <si>
    <t>6.5:12</t>
  </si>
  <si>
    <t>Roof Loads</t>
  </si>
  <si>
    <t>Total</t>
  </si>
  <si>
    <t>2d Floor Loads</t>
  </si>
  <si>
    <t>asphalt shingles</t>
  </si>
  <si>
    <t>flooring</t>
  </si>
  <si>
    <t>roofing felt</t>
  </si>
  <si>
    <t>plywood sheathing (3/4")</t>
  </si>
  <si>
    <t>plywood sheathing</t>
  </si>
  <si>
    <t>framing</t>
  </si>
  <si>
    <t>insulation</t>
  </si>
  <si>
    <t>drywall</t>
  </si>
  <si>
    <t>drywall ceiling</t>
  </si>
  <si>
    <t>miscellaneous</t>
  </si>
  <si>
    <t>Roof Dead Load (w/ projection)</t>
  </si>
  <si>
    <t>2d Floor Dead Load</t>
  </si>
  <si>
    <t>Roof Live Load</t>
  </si>
  <si>
    <t>2d Floor Live Load</t>
  </si>
  <si>
    <t>1st Floor Loads</t>
  </si>
  <si>
    <t>---slab---</t>
  </si>
  <si>
    <t>1st Floor Dead Load</t>
  </si>
  <si>
    <t>1st Floor Live Load</t>
  </si>
  <si>
    <t>Exterior Walls</t>
  </si>
  <si>
    <t>Interior Walls</t>
  </si>
  <si>
    <t>stucco</t>
  </si>
  <si>
    <t>Drywall</t>
  </si>
  <si>
    <t>plywood panel</t>
  </si>
  <si>
    <t>misc</t>
  </si>
  <si>
    <t>Total Ext. Wall Dead Load</t>
  </si>
  <si>
    <t>Total Interior Wall Dead Load</t>
  </si>
  <si>
    <t>Notes:</t>
  </si>
  <si>
    <t>4:12</t>
  </si>
  <si>
    <t>5:12</t>
  </si>
  <si>
    <t>5:12 pitch assumed for lines 1-3, &amp; 5. Factor = 1.08</t>
  </si>
  <si>
    <t>l</t>
  </si>
  <si>
    <t>w</t>
  </si>
  <si>
    <t>a</t>
  </si>
  <si>
    <t>F 28.4-1</t>
  </si>
  <si>
    <t>DESIGN CRITERIA</t>
  </si>
  <si>
    <t>GENERAL</t>
  </si>
  <si>
    <t>Risk Category</t>
  </si>
  <si>
    <t>DEAD</t>
  </si>
  <si>
    <t>Roof</t>
  </si>
  <si>
    <t>LIVE</t>
  </si>
  <si>
    <r>
      <t>L</t>
    </r>
    <r>
      <rPr>
        <vertAlign val="subscript"/>
        <sz val="11"/>
        <color theme="1"/>
        <rFont val="Calibri"/>
        <family val="2"/>
        <scheme val="minor"/>
      </rPr>
      <t>r</t>
    </r>
  </si>
  <si>
    <t>psf (w/ trib reduction)</t>
  </si>
  <si>
    <t>Importance Factor</t>
  </si>
  <si>
    <t>Site Class</t>
  </si>
  <si>
    <r>
      <t>S</t>
    </r>
    <r>
      <rPr>
        <vertAlign val="subscript"/>
        <sz val="11"/>
        <color theme="1"/>
        <rFont val="Calibri"/>
        <family val="2"/>
        <scheme val="minor"/>
      </rPr>
      <t>s</t>
    </r>
  </si>
  <si>
    <r>
      <t>S</t>
    </r>
    <r>
      <rPr>
        <vertAlign val="subscript"/>
        <sz val="11"/>
        <color theme="1"/>
        <rFont val="Calibri"/>
        <family val="2"/>
        <scheme val="minor"/>
      </rPr>
      <t>Ds</t>
    </r>
  </si>
  <si>
    <t>LFRS</t>
  </si>
  <si>
    <r>
      <t>W</t>
    </r>
    <r>
      <rPr>
        <vertAlign val="subscript"/>
        <sz val="11"/>
        <color theme="1"/>
        <rFont val="Calibri"/>
        <family val="2"/>
        <scheme val="minor"/>
      </rPr>
      <t>0</t>
    </r>
  </si>
  <si>
    <t>Overstrength</t>
  </si>
  <si>
    <t>Seismic Design Cat.</t>
  </si>
  <si>
    <t>Base Shear Coeff.</t>
  </si>
  <si>
    <t>Wind Speed</t>
  </si>
  <si>
    <t>Exposure Category</t>
  </si>
  <si>
    <t>Enclosure Class</t>
  </si>
  <si>
    <t>Topographic Factor</t>
  </si>
  <si>
    <t>Mean Roof Height</t>
  </si>
  <si>
    <t>COMPONENTS &amp; CLADDING</t>
  </si>
  <si>
    <t>Exposure Factor</t>
  </si>
  <si>
    <t>Thermal Factor</t>
  </si>
  <si>
    <t>Ground Snow Load</t>
  </si>
  <si>
    <t>ASCE 7-10, p.243, F 28.4-1</t>
  </si>
  <si>
    <t>var.</t>
  </si>
  <si>
    <t>dim</t>
  </si>
  <si>
    <t>unit</t>
  </si>
  <si>
    <t>l*10%</t>
  </si>
  <si>
    <t>l*4%</t>
  </si>
  <si>
    <t>min dim.</t>
  </si>
  <si>
    <t>Qualifications</t>
  </si>
  <si>
    <t>Results</t>
  </si>
  <si>
    <t>l*10% or 0.4h</t>
  </si>
  <si>
    <t>&lt; 4% of l</t>
  </si>
  <si>
    <t>&lt; 3ft</t>
  </si>
  <si>
    <t>roof slope</t>
  </si>
  <si>
    <t>deg.</t>
  </si>
  <si>
    <t>height to soffit</t>
  </si>
  <si>
    <r>
      <t>h</t>
    </r>
    <r>
      <rPr>
        <vertAlign val="subscript"/>
        <sz val="11"/>
        <color theme="1"/>
        <rFont val="Calibri"/>
        <family val="2"/>
        <scheme val="minor"/>
      </rPr>
      <t>r</t>
    </r>
  </si>
  <si>
    <t>height to ridge</t>
  </si>
  <si>
    <r>
      <t>h</t>
    </r>
    <r>
      <rPr>
        <vertAlign val="subscript"/>
        <sz val="11"/>
        <color theme="1"/>
        <rFont val="Calibri"/>
        <family val="2"/>
        <scheme val="minor"/>
      </rPr>
      <t>sf</t>
    </r>
  </si>
  <si>
    <t>height from soffit to ridge</t>
  </si>
  <si>
    <t>l or w</t>
  </si>
  <si>
    <r>
      <t>h</t>
    </r>
    <r>
      <rPr>
        <vertAlign val="subscript"/>
        <sz val="11"/>
        <color theme="1"/>
        <rFont val="Calibri"/>
        <family val="2"/>
        <scheme val="minor"/>
      </rPr>
      <t>m</t>
    </r>
  </si>
  <si>
    <t>&lt;= minimum value</t>
  </si>
  <si>
    <t>roof plan dimension</t>
  </si>
  <si>
    <t>dist of walls supporting roof</t>
  </si>
  <si>
    <r>
      <t>l</t>
    </r>
    <r>
      <rPr>
        <vertAlign val="subscript"/>
        <sz val="11"/>
        <color theme="1"/>
        <rFont val="Calibri"/>
        <family val="2"/>
        <scheme val="minor"/>
      </rPr>
      <t>wsr</t>
    </r>
  </si>
  <si>
    <r>
      <t>0.4*h</t>
    </r>
    <r>
      <rPr>
        <vertAlign val="subscript"/>
        <sz val="11"/>
        <color theme="1"/>
        <rFont val="Calibri"/>
        <family val="2"/>
        <scheme val="minor"/>
      </rPr>
      <t>n</t>
    </r>
  </si>
  <si>
    <t>Shed</t>
  </si>
  <si>
    <t>Ridge</t>
  </si>
  <si>
    <t>ASCE 7-10 Calculation Tables (cont.)</t>
  </si>
  <si>
    <t>Calculate Roof Slope</t>
  </si>
  <si>
    <t>Elev 1</t>
  </si>
  <si>
    <t>Elev 2</t>
  </si>
  <si>
    <r>
      <t>ASCE 7-10 (p.253) F 29.5-1, C</t>
    </r>
    <r>
      <rPr>
        <vertAlign val="subscript"/>
        <sz val="11"/>
        <color theme="1"/>
        <rFont val="Calibri"/>
        <family val="2"/>
        <scheme val="minor"/>
      </rPr>
      <t>f</t>
    </r>
  </si>
  <si>
    <t>Response Mod. Fac.</t>
  </si>
  <si>
    <t>RAIN</t>
  </si>
  <si>
    <t>i</t>
  </si>
  <si>
    <t>in/hr</t>
  </si>
  <si>
    <t>Q</t>
  </si>
  <si>
    <r>
      <t>d</t>
    </r>
    <r>
      <rPr>
        <vertAlign val="subscript"/>
        <sz val="11"/>
        <color theme="1"/>
        <rFont val="Calibri"/>
        <family val="2"/>
        <scheme val="minor"/>
      </rPr>
      <t>s</t>
    </r>
  </si>
  <si>
    <t>in</t>
  </si>
  <si>
    <t>ID</t>
  </si>
  <si>
    <r>
      <t>[ft</t>
    </r>
    <r>
      <rPr>
        <vertAlign val="superscript"/>
        <sz val="11"/>
        <color theme="1"/>
        <rFont val="Calibri"/>
        <family val="2"/>
        <scheme val="minor"/>
      </rPr>
      <t>2</t>
    </r>
    <r>
      <rPr>
        <sz val="11"/>
        <color theme="1"/>
        <rFont val="Calibri"/>
        <family val="2"/>
        <scheme val="minor"/>
      </rPr>
      <t>]</t>
    </r>
  </si>
  <si>
    <t>[gpm]</t>
  </si>
  <si>
    <r>
      <t>d</t>
    </r>
    <r>
      <rPr>
        <vertAlign val="subscript"/>
        <sz val="11"/>
        <color theme="1"/>
        <rFont val="Calibri"/>
        <family val="2"/>
        <scheme val="minor"/>
      </rPr>
      <t>h</t>
    </r>
  </si>
  <si>
    <t>[in]</t>
  </si>
  <si>
    <t>Rainfall Intensity</t>
  </si>
  <si>
    <t>Static Head</t>
  </si>
  <si>
    <t>ELY</t>
  </si>
  <si>
    <t>ELX</t>
  </si>
  <si>
    <t>SL</t>
  </si>
  <si>
    <t>LL</t>
  </si>
  <si>
    <t>DL</t>
  </si>
  <si>
    <t>Y</t>
  </si>
  <si>
    <t>S</t>
  </si>
  <si>
    <t>LC</t>
  </si>
  <si>
    <t>ELZ</t>
  </si>
  <si>
    <t>Z</t>
  </si>
  <si>
    <t>X</t>
  </si>
  <si>
    <t>Redundancy</t>
  </si>
  <si>
    <t>per IBC 2015 §1611</t>
  </si>
  <si>
    <t>SOIL</t>
  </si>
  <si>
    <r>
      <t>q</t>
    </r>
    <r>
      <rPr>
        <vertAlign val="subscript"/>
        <sz val="11"/>
        <color theme="1"/>
        <rFont val="Calibri"/>
        <family val="2"/>
        <scheme val="minor"/>
      </rPr>
      <t>a</t>
    </r>
  </si>
  <si>
    <t>ksf</t>
  </si>
  <si>
    <t>Allow Soil Pressure</t>
  </si>
  <si>
    <t>Frost Depth</t>
  </si>
  <si>
    <r>
      <t>h</t>
    </r>
    <r>
      <rPr>
        <vertAlign val="subscript"/>
        <sz val="11"/>
        <color theme="1"/>
        <rFont val="Calibri"/>
        <family val="2"/>
        <scheme val="minor"/>
      </rPr>
      <t>f</t>
    </r>
  </si>
  <si>
    <t>WIND (DETAILED)</t>
  </si>
  <si>
    <t>MAIN WIND FORCE RESISTING SYSTEM (MWFRS)</t>
  </si>
  <si>
    <t>Wall, Leeward</t>
  </si>
  <si>
    <t>Wall, Side</t>
  </si>
  <si>
    <t>Wall, Windward</t>
  </si>
  <si>
    <t>§ 12.5</t>
  </si>
  <si>
    <t>100X + 30Y</t>
  </si>
  <si>
    <t>V:Irreg</t>
  </si>
  <si>
    <t>H:Irreg</t>
  </si>
  <si>
    <t>T 12.3-1</t>
  </si>
  <si>
    <t>T 12.3-2</t>
  </si>
  <si>
    <t>N/A</t>
  </si>
  <si>
    <t>IBC 2015 Fig.1611.1</t>
  </si>
  <si>
    <t>381-385</t>
  </si>
  <si>
    <t>RISA CODES (2012 IBC)</t>
  </si>
  <si>
    <t>HR Steel: AISC 14th Ed (360-10): ASD</t>
  </si>
  <si>
    <t>Connections: AISC 14th Ed (360-10): ASD</t>
  </si>
  <si>
    <t>CF Steel: AISI S100-07: ASD</t>
  </si>
  <si>
    <t>Concrete: ACI 318-11</t>
  </si>
  <si>
    <t>Wood: AWC NDS-12: ASD</t>
  </si>
  <si>
    <t>Masonry: ACI 530-11: ASD</t>
  </si>
  <si>
    <t>Aluminum: AA ADM-10: ASD - Building</t>
  </si>
  <si>
    <t>Stainless: AISC 14th Ed (360-10): ASD</t>
  </si>
  <si>
    <t>RISA CODES (2015 IBC)</t>
  </si>
  <si>
    <t>CF Steel: AISI S100-12: ASD</t>
  </si>
  <si>
    <t>Concrete: ACI 318-14</t>
  </si>
  <si>
    <t>Wood: AWC NDS-15: ASD</t>
  </si>
  <si>
    <t>Masonry: ACI 530-13: ASD</t>
  </si>
  <si>
    <t>Aluminum: AA ADM-15: ASD - Building</t>
  </si>
  <si>
    <t>WLX</t>
  </si>
  <si>
    <t>WLY</t>
  </si>
  <si>
    <t>WLZ</t>
  </si>
  <si>
    <t>ASCE 7-10 §8.1</t>
  </si>
  <si>
    <t>Version</t>
  </si>
  <si>
    <t>Description of revision</t>
  </si>
  <si>
    <t>ASCE 7-10 Calculator Version Tracker</t>
  </si>
  <si>
    <t>q</t>
  </si>
  <si>
    <t>psf/ft</t>
  </si>
  <si>
    <t>IBC 2015 T 1806.2</t>
  </si>
  <si>
    <t>m</t>
  </si>
  <si>
    <t>WBDR</t>
  </si>
  <si>
    <t>Added version tracker; added entry for foundation design values and made automatic these added values; updated header &amp; footer; wind-borne debris region.</t>
  </si>
  <si>
    <t>per IBC 2015 § 1611</t>
  </si>
  <si>
    <t>Wind-borne debris</t>
  </si>
  <si>
    <t>Grp Sym</t>
  </si>
  <si>
    <t>ASTM D2487</t>
  </si>
  <si>
    <t>Fix omega and rho symbols on LC's with Y-axis vertical.  Added USCS Soil class field.</t>
  </si>
  <si>
    <t>Source</t>
  </si>
  <si>
    <r>
      <t>S</t>
    </r>
    <r>
      <rPr>
        <vertAlign val="subscript"/>
        <sz val="11"/>
        <color theme="1"/>
        <rFont val="Calibri"/>
        <family val="2"/>
        <scheme val="minor"/>
      </rPr>
      <t>s</t>
    </r>
    <r>
      <rPr>
        <sz val="11"/>
        <color theme="1"/>
        <rFont val="Calibri"/>
        <family val="2"/>
        <scheme val="minor"/>
      </rPr>
      <t xml:space="preserve"> &lt;</t>
    </r>
  </si>
  <si>
    <r>
      <t>S</t>
    </r>
    <r>
      <rPr>
        <vertAlign val="subscript"/>
        <sz val="11"/>
        <color theme="1"/>
        <rFont val="Calibri"/>
        <family val="2"/>
        <scheme val="minor"/>
      </rPr>
      <t>1</t>
    </r>
    <r>
      <rPr>
        <sz val="11"/>
        <color theme="1"/>
        <rFont val="Calibri"/>
        <family val="2"/>
        <scheme val="minor"/>
      </rPr>
      <t xml:space="preserve"> &lt;</t>
    </r>
  </si>
  <si>
    <r>
      <t>Fixed F</t>
    </r>
    <r>
      <rPr>
        <vertAlign val="subscript"/>
        <sz val="11"/>
        <color theme="1"/>
        <rFont val="Calibri"/>
        <family val="2"/>
        <scheme val="minor"/>
      </rPr>
      <t>a</t>
    </r>
    <r>
      <rPr>
        <sz val="11"/>
        <color theme="1"/>
        <rFont val="Calibri"/>
        <family val="2"/>
        <scheme val="minor"/>
      </rPr>
      <t xml:space="preserve"> &amp; F</t>
    </r>
    <r>
      <rPr>
        <vertAlign val="subscript"/>
        <sz val="11"/>
        <color theme="1"/>
        <rFont val="Calibri"/>
        <family val="2"/>
        <scheme val="minor"/>
      </rPr>
      <t>v</t>
    </r>
    <r>
      <rPr>
        <sz val="11"/>
        <color theme="1"/>
        <rFont val="Calibri"/>
        <family val="2"/>
        <scheme val="minor"/>
      </rPr>
      <t xml:space="preserve"> calculator.</t>
    </r>
  </si>
  <si>
    <t>Added ASCE 7-10 Chapter 13 Calculation Tab</t>
  </si>
  <si>
    <r>
      <t>a</t>
    </r>
    <r>
      <rPr>
        <vertAlign val="subscript"/>
        <sz val="11"/>
        <color theme="1"/>
        <rFont val="Calibri"/>
        <family val="2"/>
        <scheme val="minor"/>
      </rPr>
      <t>p</t>
    </r>
  </si>
  <si>
    <r>
      <t>I</t>
    </r>
    <r>
      <rPr>
        <vertAlign val="subscript"/>
        <sz val="11"/>
        <color theme="1"/>
        <rFont val="Calibri"/>
        <family val="2"/>
        <scheme val="minor"/>
      </rPr>
      <t>p</t>
    </r>
  </si>
  <si>
    <r>
      <t>W</t>
    </r>
    <r>
      <rPr>
        <vertAlign val="subscript"/>
        <sz val="11"/>
        <color theme="1"/>
        <rFont val="Calibri"/>
        <family val="2"/>
        <scheme val="minor"/>
      </rPr>
      <t>p</t>
    </r>
  </si>
  <si>
    <r>
      <t>R</t>
    </r>
    <r>
      <rPr>
        <vertAlign val="subscript"/>
        <sz val="11"/>
        <color theme="1"/>
        <rFont val="Calibri"/>
        <family val="2"/>
        <scheme val="minor"/>
      </rPr>
      <t>p</t>
    </r>
  </si>
  <si>
    <t>z</t>
  </si>
  <si>
    <r>
      <t>F</t>
    </r>
    <r>
      <rPr>
        <vertAlign val="subscript"/>
        <sz val="11"/>
        <color theme="1"/>
        <rFont val="Calibri"/>
        <family val="2"/>
        <scheme val="minor"/>
      </rPr>
      <t>p</t>
    </r>
  </si>
  <si>
    <t>T 13.5-1</t>
  </si>
  <si>
    <t>T 13.6-1</t>
  </si>
  <si>
    <r>
      <rPr>
        <sz val="11"/>
        <color theme="1"/>
        <rFont val="GreekC"/>
      </rPr>
      <t>W</t>
    </r>
    <r>
      <rPr>
        <vertAlign val="subscript"/>
        <sz val="11"/>
        <color theme="1"/>
        <rFont val="Calibri"/>
        <family val="2"/>
        <scheme val="minor"/>
      </rPr>
      <t>p</t>
    </r>
  </si>
  <si>
    <t>§ 13.1.3</t>
  </si>
  <si>
    <t>k</t>
  </si>
  <si>
    <t>§ 13.3.1</t>
  </si>
  <si>
    <t>EQ 13.3-3</t>
  </si>
  <si>
    <t>ASCE 7-10 § 13.3.1</t>
  </si>
  <si>
    <t>EQ</t>
  </si>
  <si>
    <t>ASCE 7-10 § 13.3 NON-STRUCTURAL COMPONENTS</t>
  </si>
  <si>
    <t>EQ 13.3-1</t>
  </si>
  <si>
    <t>EQ 13.3-2</t>
  </si>
  <si>
    <t>Job Sheet | Environmental Loads |Soil</t>
  </si>
  <si>
    <t>Job Sheet | Environmental Loads | Rain</t>
  </si>
  <si>
    <t>Job Sheet | Environmental Loads | Snow</t>
  </si>
  <si>
    <t>Date:</t>
  </si>
  <si>
    <t>Job #:</t>
  </si>
  <si>
    <t>Job Sheet | Environmental Loads | Wind</t>
  </si>
  <si>
    <t>Job Sheet | Environmental Loads | Seismic</t>
  </si>
  <si>
    <t>ERZPE Job Number:</t>
  </si>
  <si>
    <t>Added Inputs tab.  Just inputs.  This will fee the ENV|In tab automatically.</t>
  </si>
  <si>
    <t>Job Sheet | Basic Information (cont.)</t>
  </si>
  <si>
    <t>ASCE 7-10 § 29.5 DESIGN WIND LOADS - OTHER STRUCTURES</t>
  </si>
  <si>
    <r>
      <t>C</t>
    </r>
    <r>
      <rPr>
        <vertAlign val="subscript"/>
        <sz val="11"/>
        <color theme="1"/>
        <rFont val="Calibri"/>
        <family val="2"/>
        <scheme val="minor"/>
      </rPr>
      <t>f</t>
    </r>
  </si>
  <si>
    <t>calculated</t>
  </si>
  <si>
    <t>override</t>
  </si>
  <si>
    <t>(4) per EQN 29.5-1, (p.250)</t>
  </si>
  <si>
    <t>(3) per F 29.5-1, (p.253) if not overriden</t>
  </si>
  <si>
    <t>Encl. Class</t>
  </si>
  <si>
    <t>§ 26.2</t>
  </si>
  <si>
    <t>Major update.  Removed Inputs tab and consolidated it with Env|In tab.  Fixed wind to include a change in the Cf value.  Along with another sheet for a wind value other than the design wind.  Added gangway calculator.</t>
  </si>
  <si>
    <t>Gangway Calculator</t>
  </si>
  <si>
    <t>[k]</t>
  </si>
  <si>
    <t>MX</t>
  </si>
  <si>
    <t>MY</t>
  </si>
  <si>
    <t>MZ</t>
  </si>
  <si>
    <t>[k-ft]</t>
  </si>
  <si>
    <t>lb</t>
  </si>
  <si>
    <t>Vert. Axis</t>
  </si>
  <si>
    <t>LOADS &amp; REACTIONS @ SINGLE CONTACT POINT FOR GANGWAY (Z vertical)</t>
  </si>
  <si>
    <t>LOADS &amp; REACTIONS @ SINGLE CONTACT POINT FOR GANGWAY (Y vertical)</t>
  </si>
  <si>
    <t>@ 15' AGL</t>
  </si>
  <si>
    <r>
      <t>A</t>
    </r>
    <r>
      <rPr>
        <vertAlign val="subscript"/>
        <sz val="11"/>
        <color theme="1"/>
        <rFont val="Calibri"/>
        <family val="2"/>
        <scheme val="minor"/>
      </rPr>
      <t>vert</t>
    </r>
  </si>
  <si>
    <r>
      <t>ft</t>
    </r>
    <r>
      <rPr>
        <vertAlign val="superscript"/>
        <sz val="11"/>
        <color theme="1"/>
        <rFont val="Calibri"/>
        <family val="2"/>
        <scheme val="minor"/>
      </rPr>
      <t>2</t>
    </r>
  </si>
  <si>
    <r>
      <t>A</t>
    </r>
    <r>
      <rPr>
        <vertAlign val="subscript"/>
        <sz val="11"/>
        <color theme="1"/>
        <rFont val="Calibri"/>
        <family val="2"/>
        <scheme val="minor"/>
      </rPr>
      <t>horiz</t>
    </r>
  </si>
  <si>
    <t>Vertical axis of the model</t>
  </si>
  <si>
    <t>Dead load of equipment</t>
  </si>
  <si>
    <t>Live load on equipment</t>
  </si>
  <si>
    <t>Snow load on equipment</t>
  </si>
  <si>
    <t>Wind load @ 15' AGL on equipment</t>
  </si>
  <si>
    <t>Seismic force (horiz)</t>
  </si>
  <si>
    <t>Vertical surface area of equipment</t>
  </si>
  <si>
    <t>Horizontal surface area of equipment</t>
  </si>
  <si>
    <t>d</t>
  </si>
  <si>
    <t>Distance. FOP to centroid of equipment</t>
  </si>
  <si>
    <t>Plane of FOP</t>
  </si>
  <si>
    <t>Plane</t>
  </si>
  <si>
    <t>Fixed wind pressure (design criteria tab) C&amp;C zones to now include +/- wind pressures.</t>
  </si>
  <si>
    <t>P(Max)</t>
  </si>
  <si>
    <t>P(Min)</t>
  </si>
  <si>
    <t>Fixed RISA load combinations to work better with RISA.  Removed my headers on the output sheets for the design criteria, wind, and Ch.13.</t>
  </si>
  <si>
    <t>L</t>
  </si>
  <si>
    <t>Floor Live Load</t>
  </si>
  <si>
    <t>Zone</t>
  </si>
  <si>
    <t xml:space="preserve">a = </t>
  </si>
  <si>
    <r>
      <t xml:space="preserve">Roof Slope </t>
    </r>
    <r>
      <rPr>
        <sz val="11"/>
        <color theme="1"/>
        <rFont val="GreekC"/>
      </rPr>
      <t>Q</t>
    </r>
    <r>
      <rPr>
        <sz val="11"/>
        <color theme="1"/>
        <rFont val="Calibri"/>
        <family val="2"/>
        <scheme val="minor"/>
      </rPr>
      <t xml:space="preserve"> = </t>
    </r>
  </si>
  <si>
    <t>Fixed design criteria output for wind.  Included roof slope, a, and flexibility in the zones.</t>
  </si>
  <si>
    <t>Floor</t>
  </si>
  <si>
    <t>Ch. 27, Pt. 1</t>
  </si>
  <si>
    <t>Positive</t>
  </si>
  <si>
    <t>Normal to ridge</t>
  </si>
  <si>
    <t>Wind Direction:</t>
  </si>
  <si>
    <t>Internal Pressure:</t>
  </si>
  <si>
    <t>LRFD</t>
  </si>
  <si>
    <t>Roof, Windward</t>
  </si>
  <si>
    <t>Roof, Leeward</t>
  </si>
  <si>
    <t>Roof, OH</t>
  </si>
  <si>
    <t>Pressure</t>
  </si>
  <si>
    <t xml:space="preserve">ASCE 7-10: </t>
  </si>
  <si>
    <t xml:space="preserve">Table: </t>
  </si>
  <si>
    <t>Date</t>
  </si>
  <si>
    <t>Recategorized this to give it a calc database ID.  It's now called E0002.00</t>
  </si>
  <si>
    <t>DA</t>
  </si>
  <si>
    <r>
      <t xml:space="preserve">ASCE 7-10 (p.60-62), T 12.2.-1, Design Coefficients, R, </t>
    </r>
    <r>
      <rPr>
        <sz val="11"/>
        <color theme="1"/>
        <rFont val="GreekC"/>
      </rPr>
      <t>W</t>
    </r>
    <r>
      <rPr>
        <vertAlign val="subscript"/>
        <sz val="11"/>
        <color theme="1"/>
        <rFont val="Calibri"/>
        <family val="2"/>
        <scheme val="minor"/>
      </rPr>
      <t>0</t>
    </r>
    <r>
      <rPr>
        <sz val="11"/>
        <color theme="1"/>
        <rFont val="Calibri"/>
        <family val="2"/>
        <scheme val="minor"/>
      </rPr>
      <t>, C</t>
    </r>
    <r>
      <rPr>
        <vertAlign val="subscript"/>
        <sz val="11"/>
        <color theme="1"/>
        <rFont val="Calibri"/>
        <family val="2"/>
        <scheme val="minor"/>
      </rPr>
      <t>d</t>
    </r>
  </si>
  <si>
    <t>LFWW</t>
  </si>
  <si>
    <t>LFCFW</t>
  </si>
  <si>
    <t>Light-framed wood shearwalls</t>
  </si>
  <si>
    <t>Light-framed cold-formed shearwall</t>
  </si>
  <si>
    <t>ORMSW</t>
  </si>
  <si>
    <t>Ordinary reinforced masonry shearwall</t>
  </si>
  <si>
    <t>SOMF</t>
  </si>
  <si>
    <t>Steel ordinary moment frames</t>
  </si>
  <si>
    <t>ORCSW</t>
  </si>
  <si>
    <t>Ordinary reinforced concrete shearwall</t>
  </si>
  <si>
    <t>SRCSW</t>
  </si>
  <si>
    <t>Special reinforced concrete shearwall</t>
  </si>
  <si>
    <t>SRMSW</t>
  </si>
  <si>
    <t>SSMF</t>
  </si>
  <si>
    <t>Steel special moment frames</t>
  </si>
  <si>
    <t>SSCCS</t>
  </si>
  <si>
    <t>Steel special cantilever column system</t>
  </si>
  <si>
    <t>SOCCS</t>
  </si>
  <si>
    <t>Steel ordinary cantilever column system</t>
  </si>
  <si>
    <t>TFS</t>
  </si>
  <si>
    <t>Timber Frames</t>
  </si>
  <si>
    <t>§</t>
  </si>
  <si>
    <t>T12.2-1</t>
  </si>
  <si>
    <t>T15.4-1</t>
  </si>
  <si>
    <t>SOMFHI</t>
  </si>
  <si>
    <t>Steel ordinary moment frames (w/ height increase)</t>
  </si>
  <si>
    <t>Bins (symmetrically braced legs)</t>
  </si>
  <si>
    <t>BSB</t>
  </si>
  <si>
    <t>BUB</t>
  </si>
  <si>
    <t>T15.4-2</t>
  </si>
  <si>
    <t>Bins (unsymmetrically braced legs)</t>
  </si>
  <si>
    <t>FBGST-S-MA</t>
  </si>
  <si>
    <t>Flat-bottom, ground supported tank, mechanically anchored</t>
  </si>
  <si>
    <t>FBGST-S-SA</t>
  </si>
  <si>
    <t>Flat-bottom, ground supported tank, self-anchored</t>
  </si>
  <si>
    <t>IP</t>
  </si>
  <si>
    <t>Inverted pendulum</t>
  </si>
  <si>
    <t>All other self-supporting structures</t>
  </si>
  <si>
    <t>Seis. Sys.</t>
  </si>
  <si>
    <t>Job Sheet | Building Weights</t>
  </si>
  <si>
    <t>Wall, Ext.</t>
  </si>
  <si>
    <t>Wall, Int.</t>
  </si>
  <si>
    <t>-</t>
  </si>
  <si>
    <t>Wall, Exterior</t>
  </si>
  <si>
    <t>Wall, Interior</t>
  </si>
  <si>
    <t>v.01 created. Revised seismic response; rain module; moved all inputs to left; fixed design criteria.</t>
  </si>
  <si>
    <t>Method:</t>
  </si>
  <si>
    <r>
      <t>l</t>
    </r>
    <r>
      <rPr>
        <vertAlign val="subscript"/>
        <sz val="11"/>
        <color theme="1"/>
        <rFont val="Calibri"/>
        <family val="2"/>
        <scheme val="minor"/>
      </rPr>
      <t>OH</t>
    </r>
  </si>
  <si>
    <t>Job Sheet | Building Geometry</t>
  </si>
  <si>
    <t>Option</t>
  </si>
  <si>
    <t>rise/run</t>
  </si>
  <si>
    <r>
      <t>EL</t>
    </r>
    <r>
      <rPr>
        <vertAlign val="subscript"/>
        <sz val="11"/>
        <color theme="1"/>
        <rFont val="Calibri"/>
        <family val="2"/>
        <scheme val="minor"/>
      </rPr>
      <t>1</t>
    </r>
  </si>
  <si>
    <r>
      <t>EL</t>
    </r>
    <r>
      <rPr>
        <vertAlign val="subscript"/>
        <sz val="11"/>
        <color theme="1"/>
        <rFont val="Calibri"/>
        <family val="2"/>
        <scheme val="minor"/>
      </rPr>
      <t>2</t>
    </r>
  </si>
  <si>
    <t>v.02 created.  Added overhang length to properly calculate mean roof height. Moved building geometry to it's own modue.</t>
  </si>
  <si>
    <t>v.03 created.  Fixed Seismic response values.  A lot of them were off.  Fixed rain calculator.</t>
  </si>
  <si>
    <t>v.04 created.  Fixed the design criteria output to include references for roof wind and wall wind.</t>
  </si>
  <si>
    <t>Gave output a rise:run based on a rise:12.</t>
  </si>
  <si>
    <t>rise:run</t>
  </si>
  <si>
    <t>Zones:</t>
  </si>
  <si>
    <t>1-3</t>
  </si>
  <si>
    <t>Ref:</t>
  </si>
  <si>
    <t>Open</t>
  </si>
  <si>
    <t>WSS</t>
  </si>
  <si>
    <t>Gave option to not have reference wind tables on the output sheet.</t>
  </si>
  <si>
    <t>Ch. 30, Pt. 5</t>
  </si>
  <si>
    <t>30.8-1</t>
  </si>
  <si>
    <t>Fixed output to include entry lines.  Erased ezpe.us on the output.</t>
  </si>
  <si>
    <t>Unknown.</t>
  </si>
  <si>
    <t>Fixed job number and date.</t>
  </si>
  <si>
    <t>Unlock Code: eze</t>
  </si>
  <si>
    <t>Removed job info.  Removed a few tabs that have been relocated to E0053.</t>
  </si>
  <si>
    <t>Self-Wt</t>
  </si>
  <si>
    <t>YES</t>
  </si>
  <si>
    <t>CL</t>
  </si>
  <si>
    <t>Fixed Ch.13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</si>
</sst>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0.0000"/>
    <numFmt numFmtId="167" formatCode="0.00&quot; ft&quot;"/>
    <numFmt numFmtId="168" formatCode="0.00&quot; deg&quot;"/>
    <numFmt numFmtId="169" formatCode="0.000&quot;:12&quot;"/>
  </numFmts>
  <fonts count="23" x14ac:knownFonts="1">
    <font>
      <sz val="11"/>
      <color theme="1"/>
      <name val="Calibri"/>
      <family val="2"/>
      <scheme val="minor"/>
    </font>
    <font>
      <vertAlign val="subscript"/>
      <sz val="11"/>
      <color theme="1"/>
      <name val="Calibri"/>
      <family val="2"/>
      <scheme val="minor"/>
    </font>
    <font>
      <sz val="11"/>
      <name val="Calibri"/>
      <family val="2"/>
      <scheme val="minor"/>
    </font>
    <font>
      <sz val="11"/>
      <color theme="9" tint="-0.249977111117893"/>
      <name val="Calibri"/>
      <family val="2"/>
      <scheme val="minor"/>
    </font>
    <font>
      <vertAlign val="subscript"/>
      <sz val="11"/>
      <color theme="9" tint="-0.249977111117893"/>
      <name val="Calibri"/>
      <family val="2"/>
      <scheme val="minor"/>
    </font>
    <font>
      <sz val="11"/>
      <color theme="1"/>
      <name val="Calibri"/>
      <family val="2"/>
      <scheme val="minor"/>
    </font>
    <font>
      <sz val="11"/>
      <color rgb="FF006100"/>
      <name val="Calibri"/>
      <family val="2"/>
      <scheme val="minor"/>
    </font>
    <font>
      <sz val="11"/>
      <color theme="1"/>
      <name val="GreekC"/>
    </font>
    <font>
      <sz val="11"/>
      <color theme="9" tint="-0.24994659260841701"/>
      <name val="Calibri"/>
      <family val="2"/>
      <scheme val="minor"/>
    </font>
    <font>
      <b/>
      <u/>
      <sz val="11"/>
      <color theme="1"/>
      <name val="Calibri"/>
      <family val="2"/>
      <scheme val="minor"/>
    </font>
    <font>
      <sz val="9"/>
      <color indexed="81"/>
      <name val="Tahoma"/>
      <family val="2"/>
    </font>
    <font>
      <b/>
      <sz val="9"/>
      <color indexed="81"/>
      <name val="Tahoma"/>
      <family val="2"/>
    </font>
    <font>
      <b/>
      <sz val="11"/>
      <color theme="1"/>
      <name val="Calibri"/>
      <family val="2"/>
      <scheme val="minor"/>
    </font>
    <font>
      <sz val="11"/>
      <name val="Calibri"/>
      <family val="2"/>
    </font>
    <font>
      <vertAlign val="subscript"/>
      <sz val="11"/>
      <name val="Calibri"/>
      <family val="2"/>
    </font>
    <font>
      <b/>
      <sz val="11"/>
      <color theme="9" tint="-0.249977111117893"/>
      <name val="Calibri"/>
      <family val="2"/>
    </font>
    <font>
      <sz val="11"/>
      <color theme="9" tint="-0.249977111117893"/>
      <name val="Calibri"/>
      <family val="2"/>
    </font>
    <font>
      <vertAlign val="subscript"/>
      <sz val="11"/>
      <color theme="9" tint="-0.249977111117893"/>
      <name val="Calibri"/>
      <family val="2"/>
    </font>
    <font>
      <b/>
      <sz val="11"/>
      <name val="Calibri"/>
      <family val="2"/>
    </font>
    <font>
      <u/>
      <sz val="11"/>
      <name val="Calibri"/>
      <family val="2"/>
    </font>
    <font>
      <vertAlign val="superscript"/>
      <sz val="11"/>
      <color theme="1"/>
      <name val="Calibri"/>
      <family val="2"/>
      <scheme val="minor"/>
    </font>
    <font>
      <sz val="9"/>
      <color indexed="81"/>
      <name val="Tahoma"/>
      <charset val="1"/>
    </font>
    <font>
      <b/>
      <sz val="9"/>
      <color indexed="81"/>
      <name val="Tahoma"/>
      <charset val="1"/>
    </font>
  </fonts>
  <fills count="6">
    <fill>
      <patternFill patternType="none"/>
    </fill>
    <fill>
      <patternFill patternType="gray125"/>
    </fill>
    <fill>
      <patternFill patternType="solid">
        <fgColor rgb="FFC6EFCE"/>
      </patternFill>
    </fill>
    <fill>
      <patternFill patternType="solid">
        <fgColor rgb="FFFFFFCC"/>
      </patternFill>
    </fill>
    <fill>
      <patternFill patternType="solid">
        <fgColor theme="0" tint="-0.499984740745262"/>
        <bgColor indexed="64"/>
      </patternFill>
    </fill>
    <fill>
      <patternFill patternType="solid">
        <fgColor theme="0" tint="-4.9989318521683403E-2"/>
        <bgColor indexed="64"/>
      </patternFill>
    </fill>
  </fills>
  <borders count="46">
    <border>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top style="thin">
        <color auto="1"/>
      </top>
      <bottom/>
      <diagonal/>
    </border>
    <border>
      <left style="thin">
        <color auto="1"/>
      </left>
      <right/>
      <top style="hair">
        <color auto="1"/>
      </top>
      <bottom/>
      <diagonal/>
    </border>
    <border>
      <left/>
      <right/>
      <top style="hair">
        <color auto="1"/>
      </top>
      <bottom/>
      <diagonal/>
    </border>
    <border>
      <left style="thin">
        <color auto="1"/>
      </left>
      <right/>
      <top/>
      <bottom/>
      <diagonal/>
    </border>
    <border>
      <left/>
      <right/>
      <top style="thin">
        <color theme="9" tint="-0.24994659260841701"/>
      </top>
      <bottom style="thin">
        <color theme="9" tint="-0.24994659260841701"/>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auto="1"/>
      </top>
      <bottom style="hair">
        <color auto="1"/>
      </bottom>
      <diagonal/>
    </border>
    <border>
      <left style="thin">
        <color auto="1"/>
      </left>
      <right/>
      <top style="thin">
        <color theme="9" tint="-0.24994659260841701"/>
      </top>
      <bottom style="thin">
        <color theme="9" tint="-0.24994659260841701"/>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top style="thin">
        <color theme="9" tint="-0.24994659260841701"/>
      </top>
      <bottom/>
      <diagonal/>
    </border>
    <border>
      <left/>
      <right/>
      <top style="thin">
        <color theme="9" tint="-0.24994659260841701"/>
      </top>
      <bottom/>
      <diagonal/>
    </border>
    <border>
      <left/>
      <right style="thin">
        <color theme="9" tint="-0.24994659260841701"/>
      </right>
      <top style="thin">
        <color theme="9" tint="-0.24994659260841701"/>
      </top>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4659260841701"/>
      </right>
      <top/>
      <bottom style="thin">
        <color theme="9" tint="-0.2499465926084170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bottom style="thin">
        <color rgb="FFB2B2B2"/>
      </bottom>
      <diagonal/>
    </border>
    <border>
      <left/>
      <right/>
      <top style="thin">
        <color rgb="FFB2B2B2"/>
      </top>
      <bottom style="thin">
        <color rgb="FFB2B2B2"/>
      </bottom>
      <diagonal/>
    </border>
  </borders>
  <cellStyleXfs count="4">
    <xf numFmtId="0" fontId="0" fillId="0" borderId="0">
      <alignment vertical="center"/>
    </xf>
    <xf numFmtId="0" fontId="6" fillId="2" borderId="0" applyNumberFormat="0" applyBorder="0" applyAlignment="0" applyProtection="0"/>
    <xf numFmtId="0" fontId="5" fillId="3" borderId="9" applyNumberFormat="0" applyFont="0" applyAlignment="0" applyProtection="0"/>
    <xf numFmtId="0" fontId="5" fillId="0" borderId="0"/>
  </cellStyleXfs>
  <cellXfs count="333">
    <xf numFmtId="0" fontId="0" fillId="0" borderId="0" xfId="0">
      <alignment vertical="center"/>
    </xf>
    <xf numFmtId="0" fontId="0" fillId="0" borderId="0" xfId="0" applyAlignment="1">
      <alignment horizontal="center" vertical="center"/>
    </xf>
    <xf numFmtId="165" fontId="0" fillId="3" borderId="0" xfId="2" applyNumberFormat="1" applyFont="1" applyBorder="1" applyAlignment="1" applyProtection="1">
      <alignment vertical="center"/>
      <protection locked="0"/>
    </xf>
    <xf numFmtId="0" fontId="2" fillId="2" borderId="0" xfId="1" applyFont="1" applyAlignment="1" applyProtection="1">
      <alignment horizontal="right" vertical="center"/>
      <protection locked="0"/>
    </xf>
    <xf numFmtId="0" fontId="2" fillId="2" borderId="0" xfId="1" applyFont="1" applyAlignment="1" applyProtection="1">
      <alignment vertical="center"/>
      <protection locked="0"/>
    </xf>
    <xf numFmtId="0" fontId="2" fillId="2" borderId="0" xfId="1" applyFont="1" applyAlignment="1" applyProtection="1">
      <alignment horizontal="center" vertical="center"/>
      <protection locked="0"/>
    </xf>
    <xf numFmtId="2" fontId="0" fillId="3" borderId="0" xfId="2" applyNumberFormat="1" applyFont="1" applyBorder="1" applyAlignment="1" applyProtection="1">
      <alignment vertical="center"/>
      <protection locked="0"/>
    </xf>
    <xf numFmtId="164" fontId="0" fillId="3" borderId="0" xfId="2" applyNumberFormat="1" applyFont="1" applyBorder="1" applyAlignment="1" applyProtection="1">
      <alignment vertical="center"/>
      <protection locked="0"/>
    </xf>
    <xf numFmtId="0" fontId="9" fillId="0" borderId="0" xfId="0" applyFont="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2" fontId="0" fillId="0" borderId="0" xfId="0" applyNumberForma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2" fontId="0" fillId="0" borderId="3" xfId="0" applyNumberFormat="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164" fontId="0" fillId="0" borderId="2" xfId="0" applyNumberFormat="1" applyBorder="1" applyAlignment="1">
      <alignment horizontal="center" vertical="center"/>
    </xf>
    <xf numFmtId="165" fontId="0" fillId="0" borderId="0" xfId="0" applyNumberFormat="1">
      <alignment vertical="center"/>
    </xf>
    <xf numFmtId="164" fontId="0" fillId="0" borderId="3" xfId="0" applyNumberFormat="1" applyBorder="1" applyAlignment="1">
      <alignment horizontal="center" vertical="center"/>
    </xf>
    <xf numFmtId="0" fontId="3" fillId="0" borderId="0" xfId="0" applyFont="1" applyAlignment="1">
      <alignment horizontal="center" vertical="center"/>
    </xf>
    <xf numFmtId="164" fontId="3" fillId="0" borderId="0" xfId="0" applyNumberFormat="1" applyFont="1" applyAlignment="1">
      <alignment horizontal="center" vertical="center"/>
    </xf>
    <xf numFmtId="2" fontId="0" fillId="0" borderId="4" xfId="0" applyNumberFormat="1" applyBorder="1" applyAlignment="1">
      <alignment horizontal="center" vertical="center"/>
    </xf>
    <xf numFmtId="2" fontId="0" fillId="0" borderId="2" xfId="0" applyNumberFormat="1" applyBorder="1" applyAlignment="1">
      <alignment horizontal="center" vertical="center"/>
    </xf>
    <xf numFmtId="0" fontId="0" fillId="0" borderId="10" xfId="0" applyBorder="1" applyAlignment="1">
      <alignment horizontal="center" vertical="center"/>
    </xf>
    <xf numFmtId="0" fontId="8" fillId="0" borderId="20" xfId="0" applyFont="1" applyBorder="1" applyAlignment="1">
      <alignment horizontal="center" vertical="center"/>
    </xf>
    <xf numFmtId="0" fontId="0" fillId="0" borderId="18" xfId="0" applyBorder="1">
      <alignment vertical="center"/>
    </xf>
    <xf numFmtId="165" fontId="0" fillId="0" borderId="4" xfId="0" applyNumberFormat="1"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165" fontId="0" fillId="0" borderId="2" xfId="0" applyNumberFormat="1"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165" fontId="0" fillId="0" borderId="3" xfId="0" applyNumberFormat="1" applyBorder="1" applyAlignment="1">
      <alignment horizontal="center" vertical="center"/>
    </xf>
    <xf numFmtId="0" fontId="0" fillId="0" borderId="20" xfId="0" applyBorder="1">
      <alignment vertical="center"/>
    </xf>
    <xf numFmtId="0" fontId="3" fillId="0" borderId="0" xfId="0" applyFont="1">
      <alignment vertical="center"/>
    </xf>
    <xf numFmtId="0" fontId="0" fillId="0" borderId="12" xfId="0" applyBorder="1" applyAlignment="1">
      <alignment horizontal="center" vertical="center"/>
    </xf>
    <xf numFmtId="0" fontId="0" fillId="0" borderId="12" xfId="0" applyBorder="1" applyAlignment="1">
      <alignment horizontal="right" vertical="center"/>
    </xf>
    <xf numFmtId="0" fontId="0" fillId="0" borderId="27" xfId="0" applyBorder="1">
      <alignment vertical="center"/>
    </xf>
    <xf numFmtId="2" fontId="0" fillId="0" borderId="0" xfId="2" applyNumberFormat="1" applyFont="1" applyFill="1" applyBorder="1" applyAlignment="1">
      <alignment vertical="center"/>
    </xf>
    <xf numFmtId="0" fontId="0" fillId="0" borderId="18" xfId="0" applyBorder="1" applyAlignment="1">
      <alignment horizontal="right" vertical="center"/>
    </xf>
    <xf numFmtId="0" fontId="0" fillId="0" borderId="18" xfId="0" applyBorder="1" applyAlignment="1">
      <alignment horizontal="center" vertical="center"/>
    </xf>
    <xf numFmtId="0" fontId="12" fillId="0" borderId="0" xfId="0" applyFont="1">
      <alignment vertical="center"/>
    </xf>
    <xf numFmtId="0" fontId="0" fillId="0" borderId="6" xfId="0" applyBorder="1" applyAlignment="1">
      <alignment horizontal="center" vertical="center"/>
    </xf>
    <xf numFmtId="0" fontId="0" fillId="0" borderId="33" xfId="0" applyBorder="1">
      <alignment vertical="center"/>
    </xf>
    <xf numFmtId="0" fontId="0" fillId="0" borderId="8" xfId="0" applyBorder="1" applyAlignment="1">
      <alignment horizontal="center" vertical="center"/>
    </xf>
    <xf numFmtId="0" fontId="0" fillId="0" borderId="30" xfId="0" applyBorder="1" applyAlignment="1">
      <alignment horizontal="center" vertical="center"/>
    </xf>
    <xf numFmtId="0" fontId="0" fillId="0" borderId="27" xfId="0" applyBorder="1" applyAlignment="1">
      <alignment horizontal="center" vertical="center"/>
    </xf>
    <xf numFmtId="0" fontId="0" fillId="0" borderId="27" xfId="0" applyBorder="1" applyAlignment="1">
      <alignment horizontal="left" vertical="center"/>
    </xf>
    <xf numFmtId="2" fontId="0" fillId="0" borderId="0" xfId="0" applyNumberFormat="1" applyAlignment="1">
      <alignment horizontal="right" vertical="center"/>
    </xf>
    <xf numFmtId="0" fontId="0" fillId="0" borderId="12" xfId="0" applyBorder="1" applyAlignment="1">
      <alignment horizontal="left" vertical="center"/>
    </xf>
    <xf numFmtId="2" fontId="0" fillId="3" borderId="12" xfId="2" applyNumberFormat="1" applyFont="1" applyBorder="1" applyAlignment="1" applyProtection="1">
      <alignment horizontal="center" vertical="center"/>
      <protection locked="0"/>
    </xf>
    <xf numFmtId="2" fontId="0" fillId="0" borderId="0" xfId="0" applyNumberFormat="1" applyAlignment="1">
      <alignment horizontal="center" vertical="center"/>
    </xf>
    <xf numFmtId="0" fontId="18" fillId="0" borderId="0" xfId="0" applyFont="1">
      <alignment vertical="center"/>
    </xf>
    <xf numFmtId="0" fontId="0" fillId="0" borderId="25" xfId="0" applyBorder="1" applyAlignment="1">
      <alignment horizontal="center" vertical="center"/>
    </xf>
    <xf numFmtId="0" fontId="0" fillId="0" borderId="30" xfId="0" quotePrefix="1" applyBorder="1" applyAlignment="1">
      <alignment horizontal="center" vertical="center"/>
    </xf>
    <xf numFmtId="0" fontId="0" fillId="0" borderId="28" xfId="0" quotePrefix="1" applyBorder="1" applyAlignment="1">
      <alignment horizontal="center" vertical="center"/>
    </xf>
    <xf numFmtId="0" fontId="0" fillId="0" borderId="0" xfId="0" quotePrefix="1" applyAlignment="1">
      <alignment horizontal="center" vertical="center"/>
    </xf>
    <xf numFmtId="0" fontId="18" fillId="0" borderId="0" xfId="0" applyFont="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15" fillId="0" borderId="10" xfId="0" applyFont="1" applyBorder="1" applyAlignment="1">
      <alignment horizontal="center" vertical="center"/>
    </xf>
    <xf numFmtId="0" fontId="0" fillId="0" borderId="23" xfId="0" applyBorder="1" applyAlignment="1">
      <alignment horizontal="center" vertical="center"/>
    </xf>
    <xf numFmtId="0" fontId="18" fillId="0" borderId="10" xfId="0" applyFont="1" applyBorder="1" applyAlignment="1">
      <alignment horizontal="center" vertical="center"/>
    </xf>
    <xf numFmtId="0" fontId="0" fillId="0" borderId="31" xfId="0" applyBorder="1" applyAlignment="1">
      <alignment horizontal="center" vertical="center"/>
    </xf>
    <xf numFmtId="1" fontId="0" fillId="0" borderId="0" xfId="0" applyNumberFormat="1" applyAlignment="1">
      <alignment horizontal="center" vertical="center"/>
    </xf>
    <xf numFmtId="164" fontId="0" fillId="0" borderId="0" xfId="0" applyNumberFormat="1" applyAlignment="1">
      <alignment horizontal="center" vertical="center"/>
    </xf>
    <xf numFmtId="2" fontId="0" fillId="0" borderId="23" xfId="0" applyNumberFormat="1" applyBorder="1" applyAlignment="1">
      <alignment horizontal="center" vertical="center"/>
    </xf>
    <xf numFmtId="2" fontId="0" fillId="0" borderId="32" xfId="0" applyNumberFormat="1" applyBorder="1" applyAlignment="1">
      <alignment horizontal="center" vertical="center"/>
    </xf>
    <xf numFmtId="2" fontId="16" fillId="0" borderId="8" xfId="0" applyNumberFormat="1" applyFont="1" applyBorder="1" applyAlignment="1">
      <alignment horizontal="center" vertical="center"/>
    </xf>
    <xf numFmtId="2" fontId="0" fillId="0" borderId="25" xfId="0" applyNumberFormat="1" applyBorder="1" applyAlignment="1">
      <alignment horizontal="center" vertical="center"/>
    </xf>
    <xf numFmtId="1" fontId="0" fillId="0" borderId="20" xfId="0" applyNumberFormat="1" applyBorder="1" applyAlignment="1">
      <alignment horizontal="center" vertical="center"/>
    </xf>
    <xf numFmtId="164" fontId="0" fillId="0" borderId="26" xfId="0" applyNumberFormat="1" applyBorder="1" applyAlignment="1">
      <alignment horizontal="center" vertical="center"/>
    </xf>
    <xf numFmtId="2" fontId="13" fillId="0" borderId="8" xfId="0" applyNumberFormat="1" applyFont="1" applyBorder="1" applyAlignment="1">
      <alignment horizontal="center" vertical="center"/>
    </xf>
    <xf numFmtId="2" fontId="16" fillId="0" borderId="31" xfId="0" applyNumberFormat="1" applyFont="1" applyBorder="1" applyAlignment="1">
      <alignment horizontal="center" vertical="center"/>
    </xf>
    <xf numFmtId="164" fontId="0" fillId="0" borderId="32" xfId="0" applyNumberFormat="1" applyBorder="1" applyAlignment="1">
      <alignment horizontal="center" vertical="center"/>
    </xf>
    <xf numFmtId="2" fontId="13" fillId="0" borderId="31" xfId="0" applyNumberFormat="1" applyFont="1" applyBorder="1" applyAlignment="1">
      <alignment horizontal="center" vertical="center"/>
    </xf>
    <xf numFmtId="165" fontId="0" fillId="3" borderId="10" xfId="2" applyNumberFormat="1" applyFont="1" applyBorder="1" applyAlignment="1">
      <alignment horizontal="center" vertical="center"/>
    </xf>
    <xf numFmtId="0" fontId="0" fillId="0" borderId="42" xfId="0" applyBorder="1">
      <alignment vertical="center"/>
    </xf>
    <xf numFmtId="0" fontId="0" fillId="0" borderId="33" xfId="0" applyBorder="1" applyAlignment="1">
      <alignment horizontal="center" vertical="center"/>
    </xf>
    <xf numFmtId="0" fontId="0" fillId="0" borderId="43" xfId="0" applyBorder="1">
      <alignment vertical="center"/>
    </xf>
    <xf numFmtId="0" fontId="0" fillId="0" borderId="42" xfId="0" applyBorder="1" applyAlignment="1">
      <alignment horizontal="center" vertical="center"/>
    </xf>
    <xf numFmtId="166" fontId="0" fillId="0" borderId="10" xfId="0" applyNumberFormat="1" applyBorder="1" applyAlignment="1">
      <alignment horizontal="center" vertical="center"/>
    </xf>
    <xf numFmtId="2" fontId="16" fillId="0" borderId="36" xfId="0" applyNumberFormat="1" applyFont="1" applyBorder="1" applyAlignment="1">
      <alignment horizontal="center" vertical="center"/>
    </xf>
    <xf numFmtId="2" fontId="16" fillId="0" borderId="37" xfId="0" applyNumberFormat="1" applyFont="1" applyBorder="1" applyAlignment="1">
      <alignment horizontal="center" vertical="center"/>
    </xf>
    <xf numFmtId="2" fontId="16" fillId="0" borderId="38" xfId="0" applyNumberFormat="1" applyFont="1" applyBorder="1" applyAlignment="1">
      <alignment horizontal="center" vertical="center"/>
    </xf>
    <xf numFmtId="2" fontId="16" fillId="0" borderId="39" xfId="0" applyNumberFormat="1" applyFont="1" applyBorder="1" applyAlignment="1">
      <alignment horizontal="center" vertical="center"/>
    </xf>
    <xf numFmtId="2" fontId="16" fillId="0" borderId="40" xfId="0" applyNumberFormat="1" applyFont="1" applyBorder="1" applyAlignment="1">
      <alignment horizontal="center" vertical="center"/>
    </xf>
    <xf numFmtId="2" fontId="16" fillId="0" borderId="41" xfId="0" applyNumberFormat="1" applyFont="1" applyBorder="1" applyAlignment="1">
      <alignment horizontal="center" vertical="center"/>
    </xf>
    <xf numFmtId="165" fontId="16" fillId="0" borderId="35" xfId="0" applyNumberFormat="1" applyFont="1" applyBorder="1" applyAlignment="1">
      <alignment horizontal="center" vertical="center"/>
    </xf>
    <xf numFmtId="0" fontId="16" fillId="0" borderId="0" xfId="0" applyFont="1" applyAlignment="1">
      <alignment horizontal="center" vertical="center"/>
    </xf>
    <xf numFmtId="1" fontId="0" fillId="0" borderId="27" xfId="0" applyNumberFormat="1" applyBorder="1" applyAlignment="1">
      <alignment horizontal="center" vertical="center"/>
    </xf>
    <xf numFmtId="164" fontId="0" fillId="0" borderId="27" xfId="0" applyNumberFormat="1" applyBorder="1" applyAlignment="1">
      <alignment horizontal="center" vertical="center"/>
    </xf>
    <xf numFmtId="2" fontId="0" fillId="0" borderId="28" xfId="0" applyNumberFormat="1" applyBorder="1" applyAlignment="1">
      <alignment horizontal="center" vertical="center"/>
    </xf>
    <xf numFmtId="2" fontId="0" fillId="0" borderId="27" xfId="0" applyNumberFormat="1" applyBorder="1" applyAlignment="1">
      <alignment horizontal="center" vertical="center"/>
    </xf>
    <xf numFmtId="2" fontId="0" fillId="0" borderId="29" xfId="0" applyNumberFormat="1" applyBorder="1" applyAlignment="1">
      <alignment horizontal="center" vertical="center"/>
    </xf>
    <xf numFmtId="2" fontId="16" fillId="0" borderId="30" xfId="0" applyNumberFormat="1" applyFont="1" applyBorder="1" applyAlignment="1">
      <alignment horizontal="center" vertical="center"/>
    </xf>
    <xf numFmtId="164" fontId="0" fillId="0" borderId="29" xfId="0" applyNumberFormat="1" applyBorder="1" applyAlignment="1">
      <alignment horizontal="center" vertical="center"/>
    </xf>
    <xf numFmtId="2" fontId="13" fillId="0" borderId="30" xfId="0" applyNumberFormat="1" applyFont="1" applyBorder="1" applyAlignment="1">
      <alignment horizontal="center" vertical="center"/>
    </xf>
    <xf numFmtId="1" fontId="19" fillId="0" borderId="0" xfId="0" applyNumberFormat="1" applyFont="1" applyAlignment="1">
      <alignment horizontal="center" vertical="center"/>
    </xf>
    <xf numFmtId="2" fontId="16" fillId="0" borderId="0" xfId="0" applyNumberFormat="1" applyFont="1" applyAlignment="1">
      <alignment horizontal="center" vertical="center"/>
    </xf>
    <xf numFmtId="0" fontId="0" fillId="0" borderId="0" xfId="0" quotePrefix="1">
      <alignment vertical="center"/>
    </xf>
    <xf numFmtId="164" fontId="0" fillId="0" borderId="1" xfId="0" applyNumberFormat="1" applyBorder="1" applyAlignment="1">
      <alignment horizontal="center" vertical="center"/>
    </xf>
    <xf numFmtId="166" fontId="3" fillId="0" borderId="35" xfId="0" applyNumberFormat="1" applyFont="1" applyBorder="1" applyAlignment="1">
      <alignment horizontal="center" vertical="center"/>
    </xf>
    <xf numFmtId="166" fontId="3" fillId="0" borderId="0" xfId="0" applyNumberFormat="1" applyFont="1" applyAlignment="1">
      <alignment horizontal="center" vertical="center"/>
    </xf>
    <xf numFmtId="2" fontId="0" fillId="0" borderId="30" xfId="0" applyNumberFormat="1" applyBorder="1" applyAlignment="1">
      <alignment horizontal="center" vertical="center"/>
    </xf>
    <xf numFmtId="2" fontId="0" fillId="3" borderId="44" xfId="2" applyNumberFormat="1" applyFont="1" applyBorder="1" applyAlignment="1" applyProtection="1">
      <alignment vertical="center"/>
      <protection locked="0"/>
    </xf>
    <xf numFmtId="2" fontId="0" fillId="3" borderId="45" xfId="2" applyNumberFormat="1" applyFont="1" applyBorder="1" applyAlignment="1" applyProtection="1">
      <alignment vertical="center"/>
      <protection locked="0"/>
    </xf>
    <xf numFmtId="0" fontId="0" fillId="0" borderId="25" xfId="0" applyBorder="1">
      <alignment vertical="center"/>
    </xf>
    <xf numFmtId="0" fontId="0" fillId="0" borderId="26" xfId="0" applyBorder="1">
      <alignment vertical="center"/>
    </xf>
    <xf numFmtId="0" fontId="0" fillId="0" borderId="28" xfId="0" applyBorder="1">
      <alignment vertical="center"/>
    </xf>
    <xf numFmtId="0" fontId="0" fillId="0" borderId="29" xfId="0" applyBorder="1">
      <alignment vertical="center"/>
    </xf>
    <xf numFmtId="0" fontId="0" fillId="0" borderId="12" xfId="0" quotePrefix="1" applyBorder="1">
      <alignment vertical="center"/>
    </xf>
    <xf numFmtId="0" fontId="0" fillId="0" borderId="15" xfId="0" quotePrefix="1" applyBorder="1">
      <alignment vertical="center"/>
    </xf>
    <xf numFmtId="0" fontId="0" fillId="0" borderId="15" xfId="0" applyBorder="1" applyAlignment="1">
      <alignment horizontal="center" vertical="center"/>
    </xf>
    <xf numFmtId="166" fontId="0" fillId="0" borderId="18" xfId="0" applyNumberFormat="1" applyBorder="1" applyAlignment="1">
      <alignment horizontal="center" vertical="center"/>
    </xf>
    <xf numFmtId="166" fontId="0" fillId="0" borderId="12" xfId="0" applyNumberFormat="1" applyBorder="1" applyAlignment="1">
      <alignment horizontal="center" vertical="center"/>
    </xf>
    <xf numFmtId="166" fontId="0" fillId="0" borderId="15" xfId="0" applyNumberFormat="1" applyBorder="1" applyAlignment="1">
      <alignment horizontal="center" vertical="center"/>
    </xf>
    <xf numFmtId="0" fontId="12" fillId="0" borderId="6" xfId="0" applyFont="1" applyBorder="1">
      <alignment vertical="center"/>
    </xf>
    <xf numFmtId="0" fontId="12" fillId="0" borderId="6" xfId="0" applyFont="1" applyBorder="1" applyAlignment="1">
      <alignment horizontal="center" vertical="center"/>
    </xf>
    <xf numFmtId="2" fontId="0" fillId="0" borderId="18" xfId="0" applyNumberFormat="1" applyBorder="1" applyAlignment="1">
      <alignment horizontal="center" vertical="center"/>
    </xf>
    <xf numFmtId="2" fontId="0" fillId="0" borderId="12" xfId="0" applyNumberFormat="1" applyBorder="1" applyAlignment="1">
      <alignment horizontal="center" vertical="center"/>
    </xf>
    <xf numFmtId="2" fontId="0" fillId="0" borderId="22" xfId="0" applyNumberFormat="1" applyBorder="1" applyAlignment="1">
      <alignment horizontal="center" vertical="center"/>
    </xf>
    <xf numFmtId="2" fontId="12" fillId="0" borderId="6" xfId="0" applyNumberFormat="1" applyFont="1" applyBorder="1" applyAlignment="1">
      <alignment horizontal="center" vertical="center"/>
    </xf>
    <xf numFmtId="2" fontId="0" fillId="0" borderId="6" xfId="0" applyNumberFormat="1" applyBorder="1" applyAlignment="1">
      <alignment horizontal="center" vertical="center"/>
    </xf>
    <xf numFmtId="0" fontId="12" fillId="0" borderId="27" xfId="0" applyFont="1" applyBorder="1">
      <alignment vertical="center"/>
    </xf>
    <xf numFmtId="0" fontId="0" fillId="3" borderId="18" xfId="2" applyFont="1" applyBorder="1" applyAlignment="1" applyProtection="1">
      <alignment vertical="center"/>
      <protection locked="0"/>
    </xf>
    <xf numFmtId="2" fontId="0" fillId="3" borderId="18" xfId="2" applyNumberFormat="1" applyFont="1" applyBorder="1" applyAlignment="1" applyProtection="1">
      <alignment horizontal="center" vertical="center"/>
      <protection locked="0"/>
    </xf>
    <xf numFmtId="0" fontId="0" fillId="3" borderId="12" xfId="2" applyFont="1" applyBorder="1" applyAlignment="1" applyProtection="1">
      <alignment vertical="center"/>
      <protection locked="0"/>
    </xf>
    <xf numFmtId="0" fontId="0" fillId="3" borderId="22" xfId="2" applyFont="1" applyBorder="1" applyAlignment="1" applyProtection="1">
      <alignment vertical="center"/>
      <protection locked="0"/>
    </xf>
    <xf numFmtId="2" fontId="0" fillId="3" borderId="22" xfId="2" applyNumberFormat="1" applyFont="1" applyBorder="1" applyAlignment="1" applyProtection="1">
      <alignment horizontal="center" vertical="center"/>
      <protection locked="0"/>
    </xf>
    <xf numFmtId="0" fontId="0" fillId="3" borderId="18" xfId="2" quotePrefix="1" applyFont="1" applyBorder="1" applyAlignment="1" applyProtection="1">
      <alignment vertical="center"/>
      <protection locked="0"/>
    </xf>
    <xf numFmtId="0" fontId="0" fillId="3" borderId="18" xfId="2" quotePrefix="1" applyFont="1" applyBorder="1" applyAlignment="1" applyProtection="1">
      <alignment horizontal="center" vertical="center"/>
      <protection locked="0"/>
    </xf>
    <xf numFmtId="0" fontId="0" fillId="3" borderId="12" xfId="2" applyFont="1" applyBorder="1" applyAlignment="1" applyProtection="1">
      <alignment horizontal="center" vertical="center"/>
      <protection locked="0"/>
    </xf>
    <xf numFmtId="0" fontId="0" fillId="3" borderId="22" xfId="2" applyFont="1" applyBorder="1" applyAlignment="1" applyProtection="1">
      <alignment horizontal="center" vertical="center"/>
      <protection locked="0"/>
    </xf>
    <xf numFmtId="0" fontId="12" fillId="3" borderId="6" xfId="2" applyFont="1" applyBorder="1" applyAlignment="1" applyProtection="1">
      <alignment vertical="center"/>
      <protection locked="0"/>
    </xf>
    <xf numFmtId="0" fontId="0" fillId="3" borderId="0" xfId="2" applyFont="1" applyBorder="1" applyAlignment="1" applyProtection="1">
      <alignment horizontal="center" vertical="center"/>
      <protection locked="0"/>
    </xf>
    <xf numFmtId="0" fontId="0" fillId="3" borderId="0" xfId="2" applyFont="1" applyBorder="1" applyAlignment="1" applyProtection="1">
      <alignment vertical="center"/>
      <protection locked="0"/>
    </xf>
    <xf numFmtId="0" fontId="0" fillId="0" borderId="0" xfId="0" applyAlignment="1">
      <alignment horizontal="left" vertical="center"/>
    </xf>
    <xf numFmtId="0" fontId="2" fillId="0" borderId="0" xfId="1" applyFont="1" applyFill="1" applyAlignment="1">
      <alignment horizontal="left" vertical="center"/>
    </xf>
    <xf numFmtId="2" fontId="0" fillId="3" borderId="0" xfId="2" applyNumberFormat="1" applyFont="1" applyBorder="1" applyAlignment="1" applyProtection="1">
      <alignment horizontal="right" vertical="center"/>
      <protection locked="0"/>
    </xf>
    <xf numFmtId="0" fontId="12" fillId="0" borderId="6" xfId="0" applyFont="1" applyBorder="1" applyAlignment="1">
      <alignment horizontal="right"/>
    </xf>
    <xf numFmtId="0" fontId="0" fillId="0" borderId="33" xfId="0" applyBorder="1" applyAlignment="1">
      <alignment horizontal="center"/>
    </xf>
    <xf numFmtId="2" fontId="0" fillId="0" borderId="33" xfId="2" applyNumberFormat="1" applyFont="1" applyFill="1" applyBorder="1"/>
    <xf numFmtId="0" fontId="0" fillId="0" borderId="12" xfId="0" applyBorder="1" applyAlignment="1">
      <alignment horizontal="center"/>
    </xf>
    <xf numFmtId="2" fontId="0" fillId="0" borderId="12" xfId="0" applyNumberFormat="1" applyBorder="1">
      <alignment vertical="center"/>
    </xf>
    <xf numFmtId="2" fontId="0" fillId="0" borderId="12" xfId="2" applyNumberFormat="1" applyFont="1" applyFill="1" applyBorder="1"/>
    <xf numFmtId="0" fontId="0" fillId="0" borderId="15" xfId="0" applyBorder="1" applyAlignment="1">
      <alignment horizontal="center"/>
    </xf>
    <xf numFmtId="2" fontId="0" fillId="0" borderId="15" xfId="0" applyNumberFormat="1" applyBorder="1">
      <alignment vertical="center"/>
    </xf>
    <xf numFmtId="0" fontId="0" fillId="0" borderId="0" xfId="0" applyAlignment="1">
      <alignment horizontal="center"/>
    </xf>
    <xf numFmtId="0" fontId="0" fillId="0" borderId="18" xfId="0" applyBorder="1" applyAlignment="1"/>
    <xf numFmtId="2" fontId="0" fillId="0" borderId="18" xfId="0" applyNumberFormat="1" applyBorder="1">
      <alignment vertical="center"/>
    </xf>
    <xf numFmtId="0" fontId="0" fillId="0" borderId="12" xfId="0" applyBorder="1" applyAlignment="1"/>
    <xf numFmtId="0" fontId="0" fillId="0" borderId="15" xfId="0" applyBorder="1" applyAlignment="1"/>
    <xf numFmtId="0" fontId="0" fillId="0" borderId="0" xfId="0" applyAlignment="1"/>
    <xf numFmtId="2" fontId="12" fillId="0" borderId="0" xfId="0" applyNumberFormat="1" applyFont="1">
      <alignment vertical="center"/>
    </xf>
    <xf numFmtId="0" fontId="12" fillId="0" borderId="6" xfId="0" applyFont="1" applyBorder="1" applyAlignment="1">
      <alignment horizontal="center"/>
    </xf>
    <xf numFmtId="2" fontId="0" fillId="0" borderId="5" xfId="0" applyNumberFormat="1" applyBorder="1">
      <alignment vertical="center"/>
    </xf>
    <xf numFmtId="0" fontId="0" fillId="0" borderId="22" xfId="0" applyBorder="1">
      <alignment vertical="center"/>
    </xf>
    <xf numFmtId="0" fontId="0" fillId="0" borderId="22" xfId="0" applyBorder="1" applyAlignment="1">
      <alignment horizontal="center"/>
    </xf>
    <xf numFmtId="2" fontId="0" fillId="0" borderId="22" xfId="2" applyNumberFormat="1" applyFont="1" applyFill="1" applyBorder="1"/>
    <xf numFmtId="0" fontId="9" fillId="0" borderId="0" xfId="0" applyFont="1" applyAlignment="1">
      <alignment horizontal="left"/>
    </xf>
    <xf numFmtId="167" fontId="0" fillId="0" borderId="33" xfId="0" applyNumberFormat="1" applyBorder="1">
      <alignment vertical="center"/>
    </xf>
    <xf numFmtId="167" fontId="0" fillId="0" borderId="12" xfId="0" applyNumberFormat="1" applyBorder="1">
      <alignment vertical="center"/>
    </xf>
    <xf numFmtId="167" fontId="0" fillId="0" borderId="15" xfId="0" applyNumberFormat="1" applyBorder="1">
      <alignment vertical="center"/>
    </xf>
    <xf numFmtId="167" fontId="3" fillId="0" borderId="0" xfId="0" applyNumberFormat="1" applyFont="1">
      <alignment vertical="center"/>
    </xf>
    <xf numFmtId="167" fontId="0" fillId="0" borderId="33" xfId="0" applyNumberFormat="1" applyBorder="1" applyAlignment="1">
      <alignment horizontal="center" vertical="center"/>
    </xf>
    <xf numFmtId="167" fontId="0" fillId="0" borderId="12" xfId="0" applyNumberFormat="1" applyBorder="1" applyAlignment="1">
      <alignment horizontal="center" vertical="center"/>
    </xf>
    <xf numFmtId="167" fontId="0" fillId="0" borderId="15" xfId="0" applyNumberFormat="1" applyBorder="1" applyAlignment="1">
      <alignment horizontal="center" vertical="center"/>
    </xf>
    <xf numFmtId="0" fontId="0" fillId="0" borderId="33" xfId="0" applyBorder="1" applyAlignment="1">
      <alignment vertical="center" wrapText="1"/>
    </xf>
    <xf numFmtId="0" fontId="2" fillId="2" borderId="22" xfId="1" applyFont="1" applyBorder="1" applyAlignment="1" applyProtection="1">
      <alignment horizontal="right" vertical="center"/>
      <protection locked="0"/>
    </xf>
    <xf numFmtId="0" fontId="0" fillId="0" borderId="18" xfId="2" applyFont="1" applyFill="1" applyBorder="1" applyAlignment="1">
      <alignment horizontal="left" vertical="center"/>
    </xf>
    <xf numFmtId="165" fontId="8" fillId="0" borderId="0" xfId="0" applyNumberFormat="1" applyFont="1" applyAlignment="1">
      <alignment horizontal="center" vertical="center"/>
    </xf>
    <xf numFmtId="165" fontId="6" fillId="0" borderId="4" xfId="1" applyNumberFormat="1" applyFill="1" applyBorder="1" applyAlignment="1">
      <alignment horizontal="center" vertical="center"/>
    </xf>
    <xf numFmtId="165" fontId="6" fillId="0" borderId="2" xfId="1" applyNumberFormat="1" applyFill="1" applyBorder="1" applyAlignment="1">
      <alignment horizontal="center" vertical="center"/>
    </xf>
    <xf numFmtId="165" fontId="6" fillId="0" borderId="3" xfId="1" applyNumberFormat="1" applyFill="1" applyBorder="1" applyAlignment="1">
      <alignment horizontal="center" vertical="center"/>
    </xf>
    <xf numFmtId="0" fontId="6" fillId="0" borderId="0" xfId="1" applyFill="1" applyAlignment="1">
      <alignment horizontal="center" vertical="center"/>
    </xf>
    <xf numFmtId="1" fontId="0" fillId="0" borderId="43" xfId="0" applyNumberFormat="1" applyBorder="1" applyAlignment="1">
      <alignment horizontal="center" vertical="center"/>
    </xf>
    <xf numFmtId="1" fontId="0" fillId="0" borderId="1" xfId="0" applyNumberFormat="1" applyBorder="1" applyAlignment="1">
      <alignment horizontal="center" vertical="center"/>
    </xf>
    <xf numFmtId="1" fontId="0" fillId="0" borderId="13" xfId="0" applyNumberFormat="1" applyBorder="1" applyAlignment="1">
      <alignment horizontal="center" vertical="center"/>
    </xf>
    <xf numFmtId="1" fontId="0" fillId="0" borderId="2" xfId="0" applyNumberFormat="1" applyBorder="1" applyAlignment="1">
      <alignment horizontal="center" vertical="center"/>
    </xf>
    <xf numFmtId="1" fontId="0" fillId="0" borderId="16" xfId="0" applyNumberFormat="1" applyBorder="1" applyAlignment="1">
      <alignment horizontal="center" vertical="center"/>
    </xf>
    <xf numFmtId="1" fontId="0" fillId="0" borderId="3" xfId="0" applyNumberFormat="1" applyBorder="1" applyAlignment="1">
      <alignment horizontal="center" vertical="center"/>
    </xf>
    <xf numFmtId="2" fontId="0" fillId="0" borderId="1" xfId="0" applyNumberFormat="1" applyBorder="1" applyAlignment="1">
      <alignment horizontal="center" vertical="center"/>
    </xf>
    <xf numFmtId="2" fontId="0" fillId="0" borderId="42" xfId="0" applyNumberFormat="1" applyBorder="1" applyAlignment="1">
      <alignment horizontal="center" vertical="center"/>
    </xf>
    <xf numFmtId="2" fontId="0" fillId="0" borderId="11" xfId="0" applyNumberFormat="1" applyBorder="1" applyAlignment="1">
      <alignment horizontal="center" vertical="center"/>
    </xf>
    <xf numFmtId="2" fontId="0" fillId="0" borderId="14" xfId="0" applyNumberFormat="1" applyBorder="1" applyAlignment="1">
      <alignment horizontal="center" vertical="center"/>
    </xf>
    <xf numFmtId="1" fontId="0" fillId="0" borderId="0" xfId="0" applyNumberFormat="1">
      <alignment vertical="center"/>
    </xf>
    <xf numFmtId="0" fontId="2" fillId="0" borderId="0" xfId="1" applyFont="1" applyFill="1" applyAlignment="1">
      <alignment horizontal="center" vertical="center"/>
    </xf>
    <xf numFmtId="2" fontId="0" fillId="0" borderId="43" xfId="0" applyNumberFormat="1" applyBorder="1" applyAlignment="1">
      <alignment horizontal="center" vertical="center"/>
    </xf>
    <xf numFmtId="2" fontId="0" fillId="0" borderId="13" xfId="0" applyNumberFormat="1" applyBorder="1" applyAlignment="1">
      <alignment horizontal="center" vertical="center"/>
    </xf>
    <xf numFmtId="2" fontId="0" fillId="0" borderId="16" xfId="0" applyNumberFormat="1" applyBorder="1" applyAlignment="1">
      <alignment horizontal="center" vertical="center"/>
    </xf>
    <xf numFmtId="1" fontId="0" fillId="3" borderId="0" xfId="2" applyNumberFormat="1" applyFont="1" applyBorder="1" applyAlignment="1" applyProtection="1">
      <alignment vertical="center"/>
      <protection locked="0"/>
    </xf>
    <xf numFmtId="0" fontId="5" fillId="2" borderId="0" xfId="1" applyFont="1" applyAlignment="1" applyProtection="1">
      <alignment horizontal="right" vertical="center"/>
      <protection locked="0"/>
    </xf>
    <xf numFmtId="0" fontId="0" fillId="0" borderId="22" xfId="0" applyBorder="1" applyAlignment="1">
      <alignment horizontal="right" vertical="center"/>
    </xf>
    <xf numFmtId="165" fontId="0" fillId="0" borderId="0" xfId="2" applyNumberFormat="1" applyFont="1" applyFill="1" applyBorder="1" applyAlignment="1">
      <alignment vertical="center"/>
    </xf>
    <xf numFmtId="2" fontId="0" fillId="3" borderId="0" xfId="2" applyNumberFormat="1" applyFont="1" applyBorder="1" applyAlignment="1" applyProtection="1">
      <alignment horizontal="center" vertical="center"/>
      <protection locked="0"/>
    </xf>
    <xf numFmtId="3" fontId="0" fillId="3" borderId="0" xfId="2" applyNumberFormat="1" applyFont="1" applyBorder="1" applyAlignment="1" applyProtection="1">
      <alignment horizontal="center" vertical="center"/>
      <protection locked="0"/>
    </xf>
    <xf numFmtId="3" fontId="0" fillId="3" borderId="0" xfId="2" applyNumberFormat="1" applyFont="1" applyBorder="1" applyAlignment="1" applyProtection="1">
      <alignment horizontal="left" vertical="center"/>
      <protection locked="0"/>
    </xf>
    <xf numFmtId="3" fontId="2" fillId="2" borderId="0" xfId="1" applyNumberFormat="1" applyFont="1" applyBorder="1" applyAlignment="1" applyProtection="1">
      <alignment horizontal="left" vertical="center"/>
      <protection locked="0"/>
    </xf>
    <xf numFmtId="14" fontId="0" fillId="0" borderId="33" xfId="0" applyNumberFormat="1" applyBorder="1" applyAlignment="1">
      <alignment horizontal="center" vertical="center"/>
    </xf>
    <xf numFmtId="0" fontId="0" fillId="0" borderId="0" xfId="2" applyFont="1" applyFill="1" applyBorder="1" applyAlignment="1" applyProtection="1">
      <alignment vertical="center"/>
    </xf>
    <xf numFmtId="0" fontId="0" fillId="5" borderId="12" xfId="2" applyFont="1" applyFill="1" applyBorder="1" applyAlignment="1" applyProtection="1">
      <alignment horizontal="left" vertical="center"/>
    </xf>
    <xf numFmtId="0" fontId="0" fillId="0" borderId="0" xfId="2" applyFont="1" applyFill="1" applyBorder="1" applyAlignment="1" applyProtection="1">
      <alignment horizontal="right" vertical="center"/>
    </xf>
    <xf numFmtId="0" fontId="0" fillId="0" borderId="6" xfId="0" applyBorder="1" applyAlignment="1">
      <alignment horizontal="left" vertical="center"/>
    </xf>
    <xf numFmtId="165" fontId="3" fillId="0" borderId="0" xfId="0" applyNumberFormat="1" applyFont="1" applyAlignment="1">
      <alignment horizontal="center" vertical="center"/>
    </xf>
    <xf numFmtId="0" fontId="0" fillId="0" borderId="18" xfId="0" applyBorder="1" applyAlignment="1">
      <alignment horizontal="left" vertical="center"/>
    </xf>
    <xf numFmtId="164" fontId="0" fillId="0" borderId="4" xfId="0" applyNumberFormat="1" applyBorder="1" applyAlignment="1">
      <alignment horizontal="center" vertical="center"/>
    </xf>
    <xf numFmtId="0" fontId="2" fillId="5" borderId="0" xfId="1" applyFont="1" applyFill="1" applyAlignment="1" applyProtection="1">
      <alignment horizontal="right" vertical="center"/>
    </xf>
    <xf numFmtId="165" fontId="0" fillId="5" borderId="0" xfId="2" applyNumberFormat="1" applyFont="1" applyFill="1" applyBorder="1" applyAlignment="1" applyProtection="1">
      <alignment vertical="center"/>
    </xf>
    <xf numFmtId="0" fontId="3" fillId="0" borderId="0" xfId="0" applyFont="1" applyAlignment="1">
      <alignment horizontal="right" vertical="center"/>
    </xf>
    <xf numFmtId="2" fontId="0" fillId="5" borderId="0" xfId="2" applyNumberFormat="1" applyFont="1" applyFill="1" applyBorder="1" applyAlignment="1" applyProtection="1">
      <alignment vertical="center"/>
    </xf>
    <xf numFmtId="0" fontId="7" fillId="0" borderId="0" xfId="0" applyFont="1" applyAlignment="1">
      <alignment horizontal="center" vertical="center"/>
    </xf>
    <xf numFmtId="0" fontId="0" fillId="0" borderId="15" xfId="0" applyBorder="1" applyAlignment="1">
      <alignment horizontal="left" vertical="center"/>
    </xf>
    <xf numFmtId="0" fontId="3" fillId="0" borderId="0" xfId="0" applyFont="1" applyAlignment="1">
      <alignment horizontal="left" vertical="center"/>
    </xf>
    <xf numFmtId="0" fontId="2" fillId="5" borderId="0" xfId="1" applyFont="1" applyFill="1" applyAlignment="1" applyProtection="1">
      <alignment vertical="center"/>
    </xf>
    <xf numFmtId="0" fontId="0" fillId="0" borderId="0" xfId="0" applyAlignment="1">
      <alignment horizontal="right" vertical="center"/>
    </xf>
    <xf numFmtId="0" fontId="3" fillId="0" borderId="27" xfId="0" applyFont="1" applyBorder="1" applyAlignment="1">
      <alignment horizontal="right" vertical="center"/>
    </xf>
    <xf numFmtId="0" fontId="2" fillId="0" borderId="1" xfId="0" applyFont="1" applyBorder="1" applyAlignment="1">
      <alignment horizontal="center" vertical="center"/>
    </xf>
    <xf numFmtId="164" fontId="0" fillId="5" borderId="0" xfId="2" applyNumberFormat="1" applyFont="1" applyFill="1" applyBorder="1" applyAlignment="1" applyProtection="1">
      <alignment vertical="center"/>
    </xf>
    <xf numFmtId="166" fontId="0" fillId="0" borderId="0" xfId="0" applyNumberFormat="1">
      <alignment vertical="center"/>
    </xf>
    <xf numFmtId="2" fontId="2" fillId="0" borderId="4" xfId="0" applyNumberFormat="1" applyFont="1" applyBorder="1" applyAlignment="1">
      <alignment horizontal="center" vertical="center"/>
    </xf>
    <xf numFmtId="2" fontId="2" fillId="0" borderId="2" xfId="0" applyNumberFormat="1" applyFont="1" applyBorder="1" applyAlignment="1">
      <alignment horizontal="center" vertical="center"/>
    </xf>
    <xf numFmtId="2" fontId="3" fillId="0" borderId="0" xfId="0" applyNumberFormat="1" applyFont="1" applyAlignment="1">
      <alignment horizontal="center" vertical="center"/>
    </xf>
    <xf numFmtId="0" fontId="2" fillId="0" borderId="0" xfId="1" applyFont="1" applyFill="1" applyAlignment="1" applyProtection="1">
      <alignment horizontal="left" vertical="center"/>
    </xf>
    <xf numFmtId="0" fontId="0" fillId="0" borderId="10" xfId="0" applyBorder="1">
      <alignment vertical="center"/>
    </xf>
    <xf numFmtId="0" fontId="0" fillId="0" borderId="4" xfId="0" applyBorder="1">
      <alignment vertical="center"/>
    </xf>
    <xf numFmtId="0" fontId="0" fillId="0" borderId="17" xfId="0" applyBorder="1">
      <alignment vertical="center"/>
    </xf>
    <xf numFmtId="0" fontId="0" fillId="0" borderId="19" xfId="0" applyBorder="1">
      <alignment vertical="center"/>
    </xf>
    <xf numFmtId="0" fontId="0" fillId="0" borderId="2" xfId="0" applyBorder="1">
      <alignment vertical="center"/>
    </xf>
    <xf numFmtId="0" fontId="0" fillId="0" borderId="3" xfId="0" applyBorder="1">
      <alignment vertical="center"/>
    </xf>
    <xf numFmtId="0" fontId="8" fillId="0" borderId="20" xfId="0" applyFont="1" applyBorder="1">
      <alignment vertical="center"/>
    </xf>
    <xf numFmtId="164" fontId="0" fillId="0" borderId="0" xfId="0" applyNumberFormat="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12" xfId="0" applyFont="1" applyBorder="1" applyAlignment="1">
      <alignment horizontal="center" vertical="center"/>
    </xf>
    <xf numFmtId="0" fontId="3" fillId="0" borderId="24" xfId="0" applyFont="1" applyBorder="1">
      <alignment vertical="center"/>
    </xf>
    <xf numFmtId="0" fontId="3" fillId="0" borderId="24" xfId="0" applyFont="1" applyBorder="1" applyAlignment="1">
      <alignment horizontal="center" vertical="center"/>
    </xf>
    <xf numFmtId="164" fontId="0" fillId="0" borderId="0" xfId="2" applyNumberFormat="1" applyFont="1" applyFill="1" applyBorder="1" applyAlignment="1" applyProtection="1">
      <alignment vertical="center"/>
    </xf>
    <xf numFmtId="2" fontId="0" fillId="0" borderId="0" xfId="2" applyNumberFormat="1" applyFont="1" applyFill="1" applyBorder="1" applyAlignment="1" applyProtection="1">
      <alignment vertical="center"/>
    </xf>
    <xf numFmtId="0" fontId="0" fillId="0" borderId="17" xfId="0" applyBorder="1" applyAlignment="1">
      <alignment horizontal="left" vertical="center"/>
    </xf>
    <xf numFmtId="166" fontId="0" fillId="0" borderId="4" xfId="0" applyNumberFormat="1" applyBorder="1" applyAlignment="1">
      <alignment horizontal="center" vertical="center"/>
    </xf>
    <xf numFmtId="0" fontId="0" fillId="0" borderId="11" xfId="0" applyBorder="1" applyAlignment="1">
      <alignment horizontal="left" vertical="center"/>
    </xf>
    <xf numFmtId="166" fontId="0" fillId="0" borderId="2" xfId="0" applyNumberFormat="1" applyBorder="1" applyAlignment="1">
      <alignment horizontal="center" vertical="center"/>
    </xf>
    <xf numFmtId="0" fontId="0" fillId="4" borderId="11" xfId="0" applyFill="1" applyBorder="1">
      <alignment vertical="center"/>
    </xf>
    <xf numFmtId="0" fontId="0" fillId="4" borderId="12" xfId="0" applyFill="1" applyBorder="1">
      <alignment vertical="center"/>
    </xf>
    <xf numFmtId="0" fontId="0" fillId="4" borderId="2" xfId="0" applyFill="1" applyBorder="1">
      <alignment vertical="center"/>
    </xf>
    <xf numFmtId="166" fontId="3" fillId="0" borderId="34" xfId="0" applyNumberFormat="1" applyFont="1" applyBorder="1" applyAlignment="1">
      <alignment horizontal="center" vertical="center"/>
    </xf>
    <xf numFmtId="0" fontId="0" fillId="0" borderId="14" xfId="0" applyBorder="1" applyAlignment="1">
      <alignment horizontal="left" vertical="center"/>
    </xf>
    <xf numFmtId="0" fontId="0" fillId="4" borderId="3" xfId="0" applyFill="1" applyBorder="1">
      <alignment vertical="center"/>
    </xf>
    <xf numFmtId="166" fontId="0" fillId="0" borderId="3" xfId="0" applyNumberFormat="1" applyBorder="1" applyAlignment="1">
      <alignment horizontal="center" vertical="center"/>
    </xf>
    <xf numFmtId="0" fontId="2" fillId="5" borderId="22" xfId="1" applyFont="1" applyFill="1" applyBorder="1" applyAlignment="1" applyProtection="1">
      <alignment horizontal="right" vertical="center"/>
    </xf>
    <xf numFmtId="3" fontId="0" fillId="5" borderId="0" xfId="2" applyNumberFormat="1" applyFont="1" applyFill="1" applyBorder="1" applyAlignment="1" applyProtection="1">
      <alignment horizontal="right" vertical="center"/>
    </xf>
    <xf numFmtId="3" fontId="0" fillId="5" borderId="0" xfId="2" applyNumberFormat="1" applyFont="1" applyFill="1" applyBorder="1" applyAlignment="1" applyProtection="1">
      <alignment vertical="center"/>
    </xf>
    <xf numFmtId="4" fontId="0" fillId="5" borderId="0" xfId="2" applyNumberFormat="1" applyFont="1" applyFill="1" applyBorder="1" applyAlignment="1" applyProtection="1">
      <alignment vertical="center"/>
    </xf>
    <xf numFmtId="164" fontId="3" fillId="0" borderId="24" xfId="0" applyNumberFormat="1" applyFont="1" applyBorder="1" applyAlignment="1">
      <alignment horizontal="center" vertical="center"/>
    </xf>
    <xf numFmtId="0" fontId="0" fillId="0" borderId="6" xfId="0" applyBorder="1" applyAlignment="1">
      <alignment horizontal="right" vertical="center"/>
    </xf>
    <xf numFmtId="2" fontId="3" fillId="0" borderId="18" xfId="0" applyNumberFormat="1" applyFont="1" applyBorder="1" applyAlignment="1">
      <alignment horizontal="left" vertical="center"/>
    </xf>
    <xf numFmtId="2" fontId="3" fillId="0" borderId="23" xfId="0" applyNumberFormat="1" applyFont="1" applyBorder="1" applyAlignment="1">
      <alignment horizontal="center" vertical="center"/>
    </xf>
    <xf numFmtId="0" fontId="0" fillId="0" borderId="15" xfId="0" applyBorder="1" applyAlignment="1">
      <alignment horizontal="right" vertical="center"/>
    </xf>
    <xf numFmtId="2" fontId="3" fillId="0" borderId="15" xfId="0" applyNumberFormat="1" applyFont="1" applyBorder="1" applyAlignment="1">
      <alignment horizontal="left" vertical="center"/>
    </xf>
    <xf numFmtId="0" fontId="3" fillId="0" borderId="15" xfId="0" applyFont="1" applyBorder="1" applyAlignment="1">
      <alignment horizontal="center" vertical="center"/>
    </xf>
    <xf numFmtId="2" fontId="3" fillId="0" borderId="24" xfId="0" applyNumberFormat="1" applyFont="1" applyBorder="1" applyAlignment="1">
      <alignment horizontal="center" vertical="center"/>
    </xf>
    <xf numFmtId="164" fontId="0" fillId="3" borderId="12" xfId="2" applyNumberFormat="1" applyFont="1" applyBorder="1" applyAlignment="1" applyProtection="1">
      <alignment horizontal="center" vertical="center"/>
      <protection locked="0"/>
    </xf>
    <xf numFmtId="0" fontId="12" fillId="0" borderId="0" xfId="0" applyFont="1" applyAlignment="1">
      <alignment horizontal="left" vertical="center"/>
    </xf>
    <xf numFmtId="2" fontId="0" fillId="0" borderId="0" xfId="2" applyNumberFormat="1" applyFont="1" applyFill="1" applyBorder="1" applyAlignment="1" applyProtection="1">
      <alignment horizontal="right" vertical="center"/>
    </xf>
    <xf numFmtId="168" fontId="0" fillId="0" borderId="0" xfId="0" applyNumberFormat="1" applyAlignment="1">
      <alignment horizontal="left" vertical="center"/>
    </xf>
    <xf numFmtId="167" fontId="0" fillId="0" borderId="0" xfId="0" applyNumberFormat="1" applyAlignment="1">
      <alignment horizontal="left" vertical="center"/>
    </xf>
    <xf numFmtId="0" fontId="0" fillId="0" borderId="22" xfId="0" applyBorder="1" applyAlignment="1">
      <alignment horizontal="center" vertical="center"/>
    </xf>
    <xf numFmtId="3" fontId="0" fillId="3" borderId="0" xfId="2" applyNumberFormat="1" applyFont="1" applyBorder="1" applyAlignment="1" applyProtection="1">
      <alignment horizontal="right" vertical="center"/>
      <protection locked="0"/>
    </xf>
    <xf numFmtId="3" fontId="0" fillId="3" borderId="0" xfId="2" applyNumberFormat="1" applyFont="1" applyBorder="1" applyAlignment="1" applyProtection="1">
      <alignment vertical="center"/>
      <protection locked="0"/>
    </xf>
    <xf numFmtId="4" fontId="0" fillId="3" borderId="0" xfId="2" applyNumberFormat="1" applyFont="1" applyBorder="1" applyAlignment="1" applyProtection="1">
      <alignment vertical="center"/>
      <protection locked="0"/>
    </xf>
    <xf numFmtId="2" fontId="0" fillId="3" borderId="12" xfId="2" quotePrefix="1" applyNumberFormat="1" applyFont="1" applyBorder="1" applyAlignment="1" applyProtection="1">
      <alignment vertical="center"/>
      <protection locked="0"/>
    </xf>
    <xf numFmtId="2" fontId="0" fillId="3" borderId="12" xfId="2" applyNumberFormat="1" applyFont="1" applyBorder="1" applyAlignment="1" applyProtection="1">
      <alignment vertical="center"/>
      <protection locked="0"/>
    </xf>
    <xf numFmtId="0" fontId="2" fillId="2" borderId="12" xfId="1" applyFont="1" applyBorder="1" applyAlignment="1" applyProtection="1">
      <alignment horizontal="right" vertical="center"/>
      <protection locked="0"/>
    </xf>
    <xf numFmtId="164" fontId="0" fillId="5" borderId="12" xfId="2" applyNumberFormat="1" applyFont="1" applyFill="1" applyBorder="1" applyAlignment="1" applyProtection="1">
      <alignment horizontal="center" vertical="center"/>
    </xf>
    <xf numFmtId="0" fontId="2" fillId="5" borderId="12" xfId="1" applyFont="1" applyFill="1" applyBorder="1" applyAlignment="1" applyProtection="1">
      <alignment horizontal="right" vertical="center"/>
    </xf>
    <xf numFmtId="2" fontId="0" fillId="5" borderId="12" xfId="2" quotePrefix="1" applyNumberFormat="1" applyFont="1" applyFill="1" applyBorder="1" applyAlignment="1" applyProtection="1">
      <alignment vertical="center"/>
    </xf>
    <xf numFmtId="2" fontId="0" fillId="5" borderId="12" xfId="2" applyNumberFormat="1" applyFont="1" applyFill="1" applyBorder="1" applyAlignment="1" applyProtection="1">
      <alignment vertical="center"/>
    </xf>
    <xf numFmtId="2" fontId="2" fillId="5" borderId="12" xfId="1" applyNumberFormat="1" applyFont="1" applyFill="1" applyBorder="1" applyAlignment="1" applyProtection="1">
      <alignment horizontal="right" vertical="center"/>
    </xf>
    <xf numFmtId="2" fontId="0" fillId="0" borderId="12" xfId="2" applyNumberFormat="1" applyFont="1" applyFill="1" applyBorder="1" applyAlignment="1" applyProtection="1">
      <alignment vertical="center"/>
    </xf>
    <xf numFmtId="3" fontId="0" fillId="0" borderId="18" xfId="0" applyNumberFormat="1" applyBorder="1" applyAlignment="1">
      <alignment horizontal="center" vertical="center"/>
    </xf>
    <xf numFmtId="4" fontId="0" fillId="0" borderId="18" xfId="0" applyNumberFormat="1" applyBorder="1" applyAlignment="1">
      <alignment horizontal="center" vertical="center"/>
    </xf>
    <xf numFmtId="2" fontId="0" fillId="5" borderId="12" xfId="2" applyNumberFormat="1" applyFont="1" applyFill="1" applyBorder="1" applyAlignment="1" applyProtection="1">
      <alignment horizontal="center" vertical="center"/>
    </xf>
    <xf numFmtId="3" fontId="0" fillId="5" borderId="12" xfId="2" applyNumberFormat="1" applyFont="1" applyFill="1" applyBorder="1" applyAlignment="1" applyProtection="1">
      <alignment horizontal="center" vertical="center"/>
    </xf>
    <xf numFmtId="169" fontId="0" fillId="0" borderId="0" xfId="0" applyNumberFormat="1" applyAlignment="1">
      <alignment horizontal="left" vertical="center"/>
    </xf>
    <xf numFmtId="3" fontId="0" fillId="3" borderId="0" xfId="2" quotePrefix="1" applyNumberFormat="1" applyFont="1" applyBorder="1" applyAlignment="1" applyProtection="1">
      <alignment horizontal="center" vertical="center"/>
      <protection locked="0"/>
    </xf>
    <xf numFmtId="0" fontId="0" fillId="0" borderId="27" xfId="2" applyFont="1" applyFill="1" applyBorder="1" applyAlignment="1" applyProtection="1">
      <alignment horizontal="right" vertical="center"/>
    </xf>
    <xf numFmtId="2" fontId="0" fillId="0" borderId="27" xfId="2" applyNumberFormat="1" applyFont="1" applyFill="1" applyBorder="1" applyAlignment="1" applyProtection="1">
      <alignment horizontal="right" vertical="center"/>
    </xf>
    <xf numFmtId="0" fontId="0" fillId="0" borderId="6" xfId="2" applyFont="1" applyFill="1" applyBorder="1" applyAlignment="1" applyProtection="1">
      <alignment horizontal="right" vertical="center"/>
    </xf>
    <xf numFmtId="165" fontId="0" fillId="0" borderId="6" xfId="2" applyNumberFormat="1" applyFont="1" applyFill="1" applyBorder="1" applyAlignment="1" applyProtection="1">
      <alignment horizontal="right" vertical="center"/>
    </xf>
    <xf numFmtId="2" fontId="0" fillId="0" borderId="6" xfId="2" applyNumberFormat="1" applyFont="1" applyFill="1" applyBorder="1" applyAlignment="1" applyProtection="1">
      <alignment horizontal="right" vertical="center"/>
    </xf>
    <xf numFmtId="164" fontId="0" fillId="0" borderId="6" xfId="2" applyNumberFormat="1" applyFont="1" applyFill="1" applyBorder="1" applyAlignment="1" applyProtection="1">
      <alignment horizontal="right" vertical="center"/>
    </xf>
    <xf numFmtId="166" fontId="0" fillId="0" borderId="6" xfId="2" applyNumberFormat="1" applyFont="1" applyFill="1" applyBorder="1" applyAlignment="1" applyProtection="1">
      <alignment horizontal="right" vertical="center"/>
    </xf>
    <xf numFmtId="164" fontId="0" fillId="0" borderId="27" xfId="2" applyNumberFormat="1" applyFont="1" applyFill="1" applyBorder="1" applyAlignment="1" applyProtection="1">
      <alignment horizontal="right" vertical="center"/>
    </xf>
    <xf numFmtId="1" fontId="0" fillId="0" borderId="6" xfId="2" applyNumberFormat="1" applyFont="1" applyFill="1" applyBorder="1" applyAlignment="1" applyProtection="1">
      <alignment horizontal="right" vertical="center"/>
    </xf>
    <xf numFmtId="2" fontId="0" fillId="0" borderId="6" xfId="0" applyNumberFormat="1" applyBorder="1">
      <alignment vertical="center"/>
    </xf>
    <xf numFmtId="4" fontId="0" fillId="0" borderId="27" xfId="2" applyNumberFormat="1" applyFont="1" applyFill="1" applyBorder="1" applyAlignment="1" applyProtection="1">
      <alignment vertical="center"/>
    </xf>
    <xf numFmtId="0" fontId="0" fillId="0" borderId="33" xfId="0" applyBorder="1" applyAlignment="1">
      <alignment horizontal="left" vertical="center"/>
    </xf>
    <xf numFmtId="14" fontId="0" fillId="5" borderId="33" xfId="2" applyNumberFormat="1" applyFont="1" applyFill="1" applyBorder="1" applyAlignment="1" applyProtection="1">
      <alignment horizontal="left" vertical="center"/>
    </xf>
    <xf numFmtId="0" fontId="0" fillId="5" borderId="33" xfId="2" applyFont="1" applyFill="1" applyBorder="1" applyAlignment="1" applyProtection="1">
      <alignment horizontal="left" vertical="center"/>
    </xf>
    <xf numFmtId="14" fontId="0" fillId="0" borderId="15" xfId="0" applyNumberFormat="1" applyBorder="1" applyAlignment="1">
      <alignment horizontal="left" vertical="center"/>
    </xf>
    <xf numFmtId="14" fontId="0" fillId="3" borderId="33" xfId="2" quotePrefix="1" applyNumberFormat="1" applyFont="1" applyBorder="1" applyAlignment="1" applyProtection="1">
      <alignment horizontal="right" vertical="center"/>
      <protection locked="0"/>
    </xf>
    <xf numFmtId="0" fontId="0" fillId="3" borderId="33" xfId="2" applyFont="1" applyBorder="1" applyAlignment="1" applyProtection="1">
      <alignment horizontal="right" vertical="center"/>
      <protection locked="0"/>
    </xf>
    <xf numFmtId="0" fontId="0" fillId="3" borderId="12" xfId="2" applyFont="1" applyBorder="1" applyAlignment="1" applyProtection="1">
      <alignment horizontal="right" vertical="center"/>
      <protection locked="0"/>
    </xf>
    <xf numFmtId="14" fontId="0" fillId="0" borderId="12" xfId="2" applyNumberFormat="1" applyFont="1" applyFill="1" applyBorder="1" applyAlignment="1">
      <alignment horizontal="left" vertical="center"/>
    </xf>
    <xf numFmtId="0" fontId="0" fillId="0" borderId="12" xfId="2" applyFont="1" applyFill="1" applyBorder="1" applyAlignment="1">
      <alignment horizontal="left" vertical="center"/>
    </xf>
    <xf numFmtId="0" fontId="0" fillId="0" borderId="0" xfId="0" applyAlignment="1">
      <alignment horizontal="center" vertical="center"/>
    </xf>
    <xf numFmtId="0" fontId="12" fillId="0" borderId="0" xfId="0" applyFont="1">
      <alignment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9" xfId="0" applyBorder="1" applyAlignment="1">
      <alignment horizontal="center" vertical="center" wrapText="1"/>
    </xf>
    <xf numFmtId="0" fontId="0" fillId="0" borderId="25" xfId="0"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6" xfId="0" applyBorder="1" applyAlignment="1">
      <alignment horizontal="center" vertical="center"/>
    </xf>
    <xf numFmtId="0" fontId="12" fillId="0" borderId="20" xfId="0" applyFont="1" applyBorder="1" applyAlignment="1">
      <alignment horizontal="center" vertical="center"/>
    </xf>
    <xf numFmtId="0" fontId="12" fillId="0" borderId="27"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cellXfs>
  <cellStyles count="4">
    <cellStyle name="Good" xfId="1" builtinId="26"/>
    <cellStyle name="Normal" xfId="0" builtinId="0" customBuiltin="1"/>
    <cellStyle name="Normal 2" xfId="3" xr:uid="{9B886232-250E-409D-9667-9D9A95C95B6C}"/>
    <cellStyle name="Note" xfId="2" builtinId="1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B163F-1D1B-4AE9-9F0E-DF69AFDC95DB}">
  <dimension ref="B1:D35"/>
  <sheetViews>
    <sheetView showGridLines="0" zoomScaleNormal="100" workbookViewId="0">
      <selection activeCell="B26" sqref="B26"/>
    </sheetView>
  </sheetViews>
  <sheetFormatPr defaultRowHeight="15" x14ac:dyDescent="0.25"/>
  <cols>
    <col min="1" max="1" width="1.5703125" customWidth="1"/>
    <col min="3" max="3" width="10.7109375" customWidth="1"/>
    <col min="4" max="4" width="75.5703125" customWidth="1"/>
  </cols>
  <sheetData>
    <row r="1" spans="2:4" x14ac:dyDescent="0.25">
      <c r="B1" t="s">
        <v>621</v>
      </c>
    </row>
    <row r="2" spans="2:4" x14ac:dyDescent="0.25">
      <c r="B2" s="45" t="s">
        <v>445</v>
      </c>
      <c r="C2" s="45"/>
    </row>
    <row r="3" spans="2:4" x14ac:dyDescent="0.25">
      <c r="B3" s="10" t="s">
        <v>443</v>
      </c>
      <c r="C3" s="10" t="s">
        <v>548</v>
      </c>
      <c r="D3" s="10" t="s">
        <v>444</v>
      </c>
    </row>
    <row r="4" spans="2:4" ht="45" x14ac:dyDescent="0.25">
      <c r="B4" s="82">
        <v>25</v>
      </c>
      <c r="C4" s="82"/>
      <c r="D4" s="172" t="s">
        <v>451</v>
      </c>
    </row>
    <row r="5" spans="2:4" ht="30" x14ac:dyDescent="0.25">
      <c r="B5" s="82">
        <v>26</v>
      </c>
      <c r="C5" s="82"/>
      <c r="D5" s="172" t="s">
        <v>456</v>
      </c>
    </row>
    <row r="6" spans="2:4" ht="18" x14ac:dyDescent="0.25">
      <c r="B6" s="82">
        <v>27</v>
      </c>
      <c r="C6" s="82"/>
      <c r="D6" s="172" t="s">
        <v>460</v>
      </c>
    </row>
    <row r="7" spans="2:4" x14ac:dyDescent="0.25">
      <c r="B7" s="82">
        <v>28</v>
      </c>
      <c r="C7" s="82"/>
      <c r="D7" s="172" t="s">
        <v>461</v>
      </c>
    </row>
    <row r="8" spans="2:4" x14ac:dyDescent="0.25">
      <c r="B8" s="82">
        <v>29</v>
      </c>
      <c r="C8" s="82"/>
      <c r="D8" s="172" t="s">
        <v>488</v>
      </c>
    </row>
    <row r="9" spans="2:4" ht="45" x14ac:dyDescent="0.25">
      <c r="B9" s="82">
        <v>30</v>
      </c>
      <c r="C9" s="82"/>
      <c r="D9" s="172" t="s">
        <v>498</v>
      </c>
    </row>
    <row r="10" spans="2:4" ht="30" x14ac:dyDescent="0.25">
      <c r="B10" s="82">
        <v>31</v>
      </c>
      <c r="C10" s="82"/>
      <c r="D10" s="172" t="s">
        <v>525</v>
      </c>
    </row>
    <row r="11" spans="2:4" ht="30" x14ac:dyDescent="0.25">
      <c r="B11" s="82">
        <v>32</v>
      </c>
      <c r="C11" s="82"/>
      <c r="D11" s="172" t="s">
        <v>528</v>
      </c>
    </row>
    <row r="12" spans="2:4" ht="30" x14ac:dyDescent="0.25">
      <c r="B12" s="82">
        <v>33</v>
      </c>
      <c r="C12" s="82"/>
      <c r="D12" s="172" t="s">
        <v>534</v>
      </c>
    </row>
    <row r="13" spans="2:4" x14ac:dyDescent="0.25">
      <c r="B13" s="82">
        <v>34</v>
      </c>
      <c r="C13" s="203">
        <v>43840</v>
      </c>
      <c r="D13" s="172" t="s">
        <v>549</v>
      </c>
    </row>
    <row r="14" spans="2:4" ht="30" x14ac:dyDescent="0.25">
      <c r="B14" s="82">
        <v>1</v>
      </c>
      <c r="C14" s="203">
        <v>43890</v>
      </c>
      <c r="D14" s="172" t="s">
        <v>597</v>
      </c>
    </row>
    <row r="15" spans="2:4" ht="30" x14ac:dyDescent="0.25">
      <c r="B15" s="82">
        <v>2</v>
      </c>
      <c r="C15" s="203">
        <v>43971</v>
      </c>
      <c r="D15" s="172" t="s">
        <v>605</v>
      </c>
    </row>
    <row r="16" spans="2:4" ht="30" x14ac:dyDescent="0.25">
      <c r="B16" s="82">
        <v>3</v>
      </c>
      <c r="C16" s="203">
        <v>43978</v>
      </c>
      <c r="D16" s="172" t="s">
        <v>606</v>
      </c>
    </row>
    <row r="17" spans="2:4" ht="30" x14ac:dyDescent="0.25">
      <c r="B17" s="82">
        <v>4</v>
      </c>
      <c r="C17" s="203">
        <v>44163</v>
      </c>
      <c r="D17" s="172" t="s">
        <v>607</v>
      </c>
    </row>
    <row r="18" spans="2:4" x14ac:dyDescent="0.25">
      <c r="B18" s="82">
        <v>5</v>
      </c>
      <c r="C18" s="203">
        <v>44164</v>
      </c>
      <c r="D18" s="172" t="s">
        <v>608</v>
      </c>
    </row>
    <row r="19" spans="2:4" x14ac:dyDescent="0.25">
      <c r="B19" s="82">
        <v>6</v>
      </c>
      <c r="C19" s="203">
        <v>44182</v>
      </c>
      <c r="D19" s="172" t="s">
        <v>615</v>
      </c>
    </row>
    <row r="20" spans="2:4" x14ac:dyDescent="0.25">
      <c r="B20" s="82">
        <v>7</v>
      </c>
      <c r="C20" s="203">
        <v>44264</v>
      </c>
      <c r="D20" s="172" t="s">
        <v>619</v>
      </c>
    </row>
    <row r="21" spans="2:4" x14ac:dyDescent="0.25">
      <c r="B21" s="82">
        <v>8</v>
      </c>
      <c r="C21" s="203">
        <v>44305</v>
      </c>
      <c r="D21" s="172" t="s">
        <v>618</v>
      </c>
    </row>
    <row r="22" spans="2:4" x14ac:dyDescent="0.25">
      <c r="B22" s="82">
        <v>9</v>
      </c>
      <c r="C22" s="82"/>
      <c r="D22" s="172" t="s">
        <v>619</v>
      </c>
    </row>
    <row r="23" spans="2:4" x14ac:dyDescent="0.25">
      <c r="B23" s="82">
        <v>10</v>
      </c>
      <c r="C23" s="203">
        <v>44430</v>
      </c>
      <c r="D23" s="172" t="s">
        <v>620</v>
      </c>
    </row>
    <row r="24" spans="2:4" x14ac:dyDescent="0.25">
      <c r="B24" s="82">
        <v>11</v>
      </c>
      <c r="C24" s="203">
        <v>44967</v>
      </c>
      <c r="D24" s="172" t="s">
        <v>622</v>
      </c>
    </row>
    <row r="25" spans="2:4" x14ac:dyDescent="0.25">
      <c r="B25" s="82">
        <v>12</v>
      </c>
      <c r="C25" s="203">
        <v>45043</v>
      </c>
      <c r="D25" s="172" t="s">
        <v>626</v>
      </c>
    </row>
    <row r="26" spans="2:4" x14ac:dyDescent="0.25">
      <c r="B26" s="82"/>
      <c r="C26" s="82"/>
      <c r="D26" s="172"/>
    </row>
    <row r="27" spans="2:4" x14ac:dyDescent="0.25">
      <c r="B27" s="82"/>
      <c r="C27" s="82"/>
      <c r="D27" s="172"/>
    </row>
    <row r="28" spans="2:4" x14ac:dyDescent="0.25">
      <c r="B28" s="82"/>
      <c r="C28" s="82"/>
      <c r="D28" s="172"/>
    </row>
    <row r="29" spans="2:4" x14ac:dyDescent="0.25">
      <c r="B29" s="82"/>
      <c r="C29" s="82"/>
      <c r="D29" s="172"/>
    </row>
    <row r="30" spans="2:4" x14ac:dyDescent="0.25">
      <c r="B30" s="82"/>
      <c r="C30" s="82"/>
      <c r="D30" s="172"/>
    </row>
    <row r="31" spans="2:4" x14ac:dyDescent="0.25">
      <c r="B31" s="82"/>
      <c r="C31" s="82"/>
      <c r="D31" s="172"/>
    </row>
    <row r="32" spans="2:4" x14ac:dyDescent="0.25">
      <c r="B32" s="82"/>
      <c r="C32" s="82"/>
      <c r="D32" s="172"/>
    </row>
    <row r="33" spans="2:4" x14ac:dyDescent="0.25">
      <c r="B33" s="82"/>
      <c r="C33" s="82"/>
      <c r="D33" s="172"/>
    </row>
    <row r="34" spans="2:4" x14ac:dyDescent="0.25">
      <c r="B34" s="82"/>
      <c r="C34" s="82"/>
      <c r="D34" s="172"/>
    </row>
    <row r="35" spans="2:4" x14ac:dyDescent="0.25">
      <c r="B35" s="82"/>
      <c r="C35" s="82"/>
      <c r="D35" s="172"/>
    </row>
  </sheetData>
  <sheetProtection algorithmName="SHA-512" hashValue="+Gwb51KNvjN/CCIBiHqjUOc35Oteot5uBjUdGerawv57ywbuH5AUZQxjZr9Kb1KlTWCytYuNytLhmEXGcO82Rw==" saltValue="TJ5XOe/NoDXZYEN2vYLpMw==" spinCount="100000" sheet="1" selectLockedCells="1"/>
  <pageMargins left="0.7" right="0.7" top="0.75" bottom="0.75" header="0.3" footer="0.3"/>
  <pageSetup orientation="portrait" horizontalDpi="1200" verticalDpi="1200" r:id="rId1"/>
  <headerFooter>
    <oddHeader>&amp;LFile: &amp;F</oddHeader>
    <oddFooter>&amp;R&amp;P/&amp;N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62"/>
  <sheetViews>
    <sheetView showGridLines="0" zoomScaleNormal="100" workbookViewId="0">
      <selection activeCell="F34" sqref="F34"/>
    </sheetView>
  </sheetViews>
  <sheetFormatPr defaultColWidth="9.140625" defaultRowHeight="15" x14ac:dyDescent="0.25"/>
  <cols>
    <col min="1" max="1" width="1.7109375" customWidth="1"/>
  </cols>
  <sheetData>
    <row r="2" spans="2:6" ht="18" customHeight="1" x14ac:dyDescent="0.25">
      <c r="B2" s="56" t="s">
        <v>249</v>
      </c>
    </row>
    <row r="4" spans="2:6" x14ac:dyDescent="0.25">
      <c r="B4" s="61" t="s">
        <v>246</v>
      </c>
      <c r="E4" s="61" t="s">
        <v>247</v>
      </c>
    </row>
    <row r="5" spans="2:6" x14ac:dyDescent="0.25">
      <c r="B5" s="25" t="s">
        <v>69</v>
      </c>
      <c r="E5" s="25" t="s">
        <v>69</v>
      </c>
    </row>
    <row r="7" spans="2:6" x14ac:dyDescent="0.25">
      <c r="B7" s="25" t="s">
        <v>242</v>
      </c>
      <c r="C7" s="25" t="s">
        <v>243</v>
      </c>
      <c r="E7" s="25" t="s">
        <v>242</v>
      </c>
      <c r="F7" s="25" t="s">
        <v>244</v>
      </c>
    </row>
    <row r="8" spans="2:6" x14ac:dyDescent="0.25">
      <c r="B8" s="25" t="s">
        <v>244</v>
      </c>
      <c r="C8" s="25" t="s">
        <v>245</v>
      </c>
      <c r="E8" s="25" t="s">
        <v>243</v>
      </c>
      <c r="F8" s="25" t="s">
        <v>245</v>
      </c>
    </row>
    <row r="10" spans="2:6" x14ac:dyDescent="0.25">
      <c r="B10" s="80">
        <v>37.024999999999999</v>
      </c>
      <c r="C10" s="1"/>
      <c r="E10" s="80">
        <v>37.024999999999999</v>
      </c>
      <c r="F10" s="1"/>
    </row>
    <row r="11" spans="2:6" x14ac:dyDescent="0.25">
      <c r="B11" s="80">
        <v>30</v>
      </c>
      <c r="C11" s="80">
        <v>40</v>
      </c>
      <c r="E11" s="80">
        <v>30</v>
      </c>
      <c r="F11" s="80">
        <v>1.34</v>
      </c>
    </row>
    <row r="12" spans="2:6" x14ac:dyDescent="0.25">
      <c r="B12" s="80">
        <v>1.34</v>
      </c>
      <c r="C12" s="80">
        <v>1.73</v>
      </c>
      <c r="E12" s="80">
        <v>40</v>
      </c>
      <c r="F12" s="80">
        <v>1.73</v>
      </c>
    </row>
    <row r="14" spans="2:6" x14ac:dyDescent="0.25">
      <c r="B14" s="85">
        <f>((C12-B12)/(C11-B11))*B10+(B12-((C12-B12)/(C11-B11))*B11)</f>
        <v>1.6139750000000002</v>
      </c>
      <c r="E14" s="85">
        <f>((F12-F11)/(E12-E11))*E10+(F11-((F12-F11)/(E12-E11))*E11)</f>
        <v>1.6139750000000002</v>
      </c>
    </row>
    <row r="48" ht="18" customHeight="1" x14ac:dyDescent="0.25"/>
    <row r="62" ht="18" customHeight="1" x14ac:dyDescent="0.25"/>
  </sheetData>
  <sheetProtection selectLockedCells="1"/>
  <pageMargins left="0.7" right="0.7" top="0.75" bottom="0.75" header="0.3" footer="0.3"/>
  <pageSetup orientation="portrait" horizontalDpi="1200" verticalDpi="1200" r:id="rId1"/>
  <headerFooter>
    <oddFooter>&amp;L&amp;F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N159"/>
  <sheetViews>
    <sheetView showGridLines="0" tabSelected="1" zoomScaleNormal="100" workbookViewId="0">
      <selection activeCell="I3" sqref="I3:J3"/>
    </sheetView>
  </sheetViews>
  <sheetFormatPr defaultRowHeight="15" x14ac:dyDescent="0.25"/>
  <cols>
    <col min="1" max="1" width="1.5703125" customWidth="1"/>
    <col min="11" max="11" width="1.7109375" customWidth="1"/>
    <col min="15" max="15" width="9.140625" customWidth="1"/>
  </cols>
  <sheetData>
    <row r="2" spans="2:40" x14ac:dyDescent="0.25">
      <c r="B2" s="45" t="s">
        <v>94</v>
      </c>
      <c r="L2" s="45" t="s">
        <v>94</v>
      </c>
      <c r="V2" s="8" t="s">
        <v>95</v>
      </c>
      <c r="AF2" s="8" t="s">
        <v>95</v>
      </c>
    </row>
    <row r="3" spans="2:40" x14ac:dyDescent="0.25">
      <c r="B3" s="47" t="s">
        <v>483</v>
      </c>
      <c r="C3" s="47"/>
      <c r="D3" s="47"/>
      <c r="E3" s="47"/>
      <c r="F3" s="47"/>
      <c r="G3" s="47"/>
      <c r="H3" s="47"/>
      <c r="I3" s="309">
        <v>45043</v>
      </c>
      <c r="J3" s="310"/>
      <c r="K3" s="204"/>
      <c r="L3" s="47" t="s">
        <v>483</v>
      </c>
      <c r="M3" s="47"/>
      <c r="N3" s="306">
        <f>I3</f>
        <v>45043</v>
      </c>
      <c r="O3" s="307"/>
      <c r="P3" s="47"/>
      <c r="Q3" s="47"/>
    </row>
    <row r="4" spans="2:40" ht="18" x14ac:dyDescent="0.25">
      <c r="B4" s="30" t="s">
        <v>487</v>
      </c>
      <c r="C4" s="30"/>
      <c r="D4" s="30"/>
      <c r="E4" s="30"/>
      <c r="F4" s="30"/>
      <c r="G4" s="30"/>
      <c r="H4" s="30"/>
      <c r="I4" s="311">
        <v>23044</v>
      </c>
      <c r="J4" s="311"/>
      <c r="K4" s="204"/>
      <c r="L4" s="30" t="s">
        <v>487</v>
      </c>
      <c r="M4" s="30"/>
      <c r="N4" s="205">
        <f>I4</f>
        <v>23044</v>
      </c>
      <c r="O4" s="30"/>
      <c r="P4" s="30"/>
      <c r="Q4" s="30"/>
      <c r="V4" s="41" t="s">
        <v>12</v>
      </c>
      <c r="W4" s="41"/>
      <c r="X4" s="41"/>
      <c r="Y4" s="41"/>
      <c r="Z4" s="41"/>
      <c r="AA4" s="41"/>
      <c r="AF4" t="s">
        <v>551</v>
      </c>
    </row>
    <row r="5" spans="2:40" ht="18" x14ac:dyDescent="0.25">
      <c r="K5" s="206"/>
      <c r="L5" s="206"/>
      <c r="M5" s="206"/>
      <c r="N5" s="206"/>
      <c r="O5" s="206"/>
      <c r="P5" s="206"/>
      <c r="Q5" s="206"/>
      <c r="V5" s="48" t="s">
        <v>9</v>
      </c>
      <c r="W5" s="13" t="s">
        <v>19</v>
      </c>
      <c r="X5" s="13" t="s">
        <v>18</v>
      </c>
      <c r="Y5" s="13" t="s">
        <v>18</v>
      </c>
      <c r="Z5" s="13" t="s">
        <v>18</v>
      </c>
      <c r="AA5" s="13" t="s">
        <v>458</v>
      </c>
      <c r="AB5" s="13" t="s">
        <v>20</v>
      </c>
      <c r="AF5" s="46" t="s">
        <v>68</v>
      </c>
      <c r="AG5" s="46" t="s">
        <v>60</v>
      </c>
      <c r="AH5" s="46" t="s">
        <v>61</v>
      </c>
      <c r="AI5" s="46" t="s">
        <v>62</v>
      </c>
      <c r="AJ5" s="46" t="s">
        <v>46</v>
      </c>
      <c r="AK5" s="46" t="s">
        <v>573</v>
      </c>
      <c r="AL5" s="207" t="s">
        <v>85</v>
      </c>
      <c r="AM5" s="10"/>
      <c r="AN5" s="10"/>
    </row>
    <row r="6" spans="2:40" x14ac:dyDescent="0.25">
      <c r="B6" s="45" t="s">
        <v>600</v>
      </c>
      <c r="F6" s="45" t="s">
        <v>591</v>
      </c>
      <c r="K6" s="206"/>
      <c r="L6" s="45" t="s">
        <v>600</v>
      </c>
      <c r="P6" s="45" t="s">
        <v>591</v>
      </c>
      <c r="V6" s="49" t="s">
        <v>230</v>
      </c>
      <c r="W6" s="15">
        <v>0.25</v>
      </c>
      <c r="X6" s="15">
        <v>0.5</v>
      </c>
      <c r="Y6" s="15">
        <v>0.75</v>
      </c>
      <c r="Z6" s="15">
        <v>1</v>
      </c>
      <c r="AA6" s="15">
        <v>1.25</v>
      </c>
      <c r="AB6" s="15">
        <v>1.25</v>
      </c>
      <c r="AC6" s="208">
        <f>'ENV|In'!M25</f>
        <v>5.2999999999999999E-2</v>
      </c>
      <c r="AF6" s="209" t="s">
        <v>552</v>
      </c>
      <c r="AG6" s="44">
        <v>6.5</v>
      </c>
      <c r="AH6" s="44">
        <v>3</v>
      </c>
      <c r="AI6" s="44">
        <v>4</v>
      </c>
      <c r="AJ6" s="44" t="s">
        <v>64</v>
      </c>
      <c r="AK6" s="27" t="s">
        <v>574</v>
      </c>
      <c r="AL6" s="209" t="s">
        <v>554</v>
      </c>
      <c r="AM6" s="27"/>
      <c r="AN6" s="27"/>
    </row>
    <row r="7" spans="2:40" x14ac:dyDescent="0.25">
      <c r="B7" s="39" t="s">
        <v>43</v>
      </c>
      <c r="C7" s="39" t="s">
        <v>44</v>
      </c>
      <c r="D7" s="39" t="s">
        <v>45</v>
      </c>
      <c r="F7" s="30" t="s">
        <v>43</v>
      </c>
      <c r="G7" s="39" t="s">
        <v>395</v>
      </c>
      <c r="H7" s="39" t="s">
        <v>394</v>
      </c>
      <c r="I7" s="39" t="s">
        <v>45</v>
      </c>
      <c r="K7" s="206"/>
      <c r="L7" s="39" t="s">
        <v>43</v>
      </c>
      <c r="M7" s="39" t="s">
        <v>44</v>
      </c>
      <c r="N7" s="39" t="s">
        <v>45</v>
      </c>
      <c r="P7" s="30" t="s">
        <v>43</v>
      </c>
      <c r="Q7" s="39" t="s">
        <v>395</v>
      </c>
      <c r="R7" s="39" t="s">
        <v>394</v>
      </c>
      <c r="S7" s="39" t="s">
        <v>45</v>
      </c>
      <c r="T7" s="1"/>
      <c r="V7" s="16" t="s">
        <v>13</v>
      </c>
      <c r="W7" s="210">
        <v>0.8</v>
      </c>
      <c r="X7" s="210">
        <v>0.8</v>
      </c>
      <c r="Y7" s="210">
        <v>0.8</v>
      </c>
      <c r="Z7" s="210">
        <v>0.8</v>
      </c>
      <c r="AA7" s="210">
        <v>0.8</v>
      </c>
      <c r="AB7" s="210">
        <v>0.8</v>
      </c>
      <c r="AF7" s="53" t="s">
        <v>553</v>
      </c>
      <c r="AG7" s="39">
        <v>6.5</v>
      </c>
      <c r="AH7" s="39">
        <v>3</v>
      </c>
      <c r="AI7" s="39">
        <v>4</v>
      </c>
      <c r="AJ7" s="39" t="s">
        <v>64</v>
      </c>
      <c r="AK7" s="30" t="s">
        <v>574</v>
      </c>
      <c r="AL7" s="53" t="s">
        <v>555</v>
      </c>
      <c r="AM7" s="30"/>
      <c r="AN7" s="30"/>
    </row>
    <row r="8" spans="2:40" ht="18" x14ac:dyDescent="0.25">
      <c r="B8" s="1" t="s">
        <v>70</v>
      </c>
      <c r="C8" s="6">
        <v>10</v>
      </c>
      <c r="D8" t="s">
        <v>87</v>
      </c>
      <c r="F8" s="30" t="s">
        <v>322</v>
      </c>
      <c r="G8" s="270">
        <v>0</v>
      </c>
      <c r="H8" s="270">
        <v>0</v>
      </c>
      <c r="I8" s="39" t="s">
        <v>204</v>
      </c>
      <c r="K8" s="206"/>
      <c r="L8" s="1" t="s">
        <v>70</v>
      </c>
      <c r="M8" s="284">
        <f t="shared" ref="M8:M17" si="0">C8</f>
        <v>10</v>
      </c>
      <c r="N8" s="30" t="s">
        <v>87</v>
      </c>
      <c r="P8" s="30" t="s">
        <v>322</v>
      </c>
      <c r="Q8" s="282">
        <f>G8</f>
        <v>0</v>
      </c>
      <c r="R8" s="282">
        <f>H8</f>
        <v>0</v>
      </c>
      <c r="S8" s="39" t="s">
        <v>204</v>
      </c>
      <c r="T8" s="1"/>
      <c r="V8" s="17" t="s">
        <v>14</v>
      </c>
      <c r="W8" s="18">
        <v>1</v>
      </c>
      <c r="X8" s="18">
        <v>1</v>
      </c>
      <c r="Y8" s="18">
        <v>1</v>
      </c>
      <c r="Z8" s="18">
        <v>1</v>
      </c>
      <c r="AA8" s="18">
        <v>1</v>
      </c>
      <c r="AB8" s="18">
        <v>1</v>
      </c>
      <c r="AF8" s="30" t="s">
        <v>562</v>
      </c>
      <c r="AG8" s="39">
        <v>5</v>
      </c>
      <c r="AH8" s="39">
        <v>2.5</v>
      </c>
      <c r="AI8" s="39">
        <v>5</v>
      </c>
      <c r="AJ8" s="39" t="s">
        <v>64</v>
      </c>
      <c r="AK8" s="30" t="s">
        <v>574</v>
      </c>
      <c r="AL8" s="53" t="s">
        <v>563</v>
      </c>
      <c r="AM8" s="30"/>
      <c r="AN8" s="30"/>
    </row>
    <row r="9" spans="2:40" x14ac:dyDescent="0.25">
      <c r="B9" s="39" t="s">
        <v>314</v>
      </c>
      <c r="C9" s="279">
        <v>16</v>
      </c>
      <c r="D9" s="30" t="s">
        <v>87</v>
      </c>
      <c r="F9" s="30" t="s">
        <v>592</v>
      </c>
      <c r="G9" s="270">
        <v>0</v>
      </c>
      <c r="H9" s="39" t="s">
        <v>594</v>
      </c>
      <c r="I9" s="39" t="s">
        <v>204</v>
      </c>
      <c r="K9" s="206"/>
      <c r="L9" s="39" t="s">
        <v>314</v>
      </c>
      <c r="M9" s="284">
        <f t="shared" si="0"/>
        <v>16</v>
      </c>
      <c r="N9" s="30" t="s">
        <v>87</v>
      </c>
      <c r="P9" s="30" t="s">
        <v>592</v>
      </c>
      <c r="Q9" s="282">
        <f>G9</f>
        <v>0</v>
      </c>
      <c r="R9" s="39" t="s">
        <v>594</v>
      </c>
      <c r="S9" s="39" t="s">
        <v>204</v>
      </c>
      <c r="T9" s="1"/>
      <c r="V9" s="17" t="s">
        <v>15</v>
      </c>
      <c r="W9" s="18">
        <v>1.2</v>
      </c>
      <c r="X9" s="18">
        <v>1.2</v>
      </c>
      <c r="Y9" s="18">
        <v>1.1000000000000001</v>
      </c>
      <c r="Z9" s="18">
        <v>1</v>
      </c>
      <c r="AA9" s="18">
        <v>1</v>
      </c>
      <c r="AB9" s="18">
        <v>1</v>
      </c>
      <c r="AF9" s="30" t="s">
        <v>560</v>
      </c>
      <c r="AG9" s="39">
        <v>4</v>
      </c>
      <c r="AH9" s="39">
        <v>2.5</v>
      </c>
      <c r="AI9" s="39">
        <v>4</v>
      </c>
      <c r="AJ9" s="39" t="s">
        <v>64</v>
      </c>
      <c r="AK9" s="30" t="s">
        <v>574</v>
      </c>
      <c r="AL9" s="53" t="s">
        <v>561</v>
      </c>
      <c r="AM9" s="30"/>
      <c r="AN9" s="30"/>
    </row>
    <row r="10" spans="2:40" x14ac:dyDescent="0.25">
      <c r="B10" s="39" t="s">
        <v>315</v>
      </c>
      <c r="C10" s="280">
        <v>3</v>
      </c>
      <c r="D10" s="30" t="s">
        <v>87</v>
      </c>
      <c r="F10" s="30" t="s">
        <v>593</v>
      </c>
      <c r="G10" s="270">
        <v>0</v>
      </c>
      <c r="H10" s="39" t="s">
        <v>594</v>
      </c>
      <c r="I10" s="39" t="s">
        <v>204</v>
      </c>
      <c r="K10" s="206"/>
      <c r="L10" s="39" t="s">
        <v>315</v>
      </c>
      <c r="M10" s="285">
        <f t="shared" si="0"/>
        <v>3</v>
      </c>
      <c r="N10" s="30" t="s">
        <v>87</v>
      </c>
      <c r="P10" s="30" t="s">
        <v>593</v>
      </c>
      <c r="Q10" s="282">
        <f>G10</f>
        <v>0</v>
      </c>
      <c r="R10" s="39" t="s">
        <v>594</v>
      </c>
      <c r="S10" s="39" t="s">
        <v>204</v>
      </c>
      <c r="T10" s="1"/>
      <c r="V10" s="17" t="s">
        <v>10</v>
      </c>
      <c r="W10" s="18">
        <v>1.6</v>
      </c>
      <c r="X10" s="18">
        <v>1.4</v>
      </c>
      <c r="Y10" s="18">
        <v>1.2</v>
      </c>
      <c r="Z10" s="18">
        <v>1.1000000000000001</v>
      </c>
      <c r="AA10" s="18">
        <v>1</v>
      </c>
      <c r="AB10" s="18">
        <v>1</v>
      </c>
      <c r="AF10" s="30" t="s">
        <v>564</v>
      </c>
      <c r="AG10" s="39">
        <v>5</v>
      </c>
      <c r="AH10" s="39">
        <v>2.5</v>
      </c>
      <c r="AI10" s="39">
        <v>3.5</v>
      </c>
      <c r="AJ10" s="39" t="s">
        <v>64</v>
      </c>
      <c r="AK10" s="30" t="s">
        <v>574</v>
      </c>
      <c r="AL10" s="53" t="s">
        <v>557</v>
      </c>
      <c r="AM10" s="30"/>
      <c r="AN10" s="30"/>
    </row>
    <row r="11" spans="2:40" ht="18" x14ac:dyDescent="0.25">
      <c r="B11" s="39" t="s">
        <v>599</v>
      </c>
      <c r="C11" s="279">
        <v>0</v>
      </c>
      <c r="D11" s="30" t="s">
        <v>87</v>
      </c>
      <c r="F11" s="30" t="s">
        <v>535</v>
      </c>
      <c r="G11" s="270" t="s">
        <v>623</v>
      </c>
      <c r="H11" s="270">
        <v>100</v>
      </c>
      <c r="I11" s="39" t="s">
        <v>204</v>
      </c>
      <c r="L11" s="39" t="s">
        <v>599</v>
      </c>
      <c r="M11" s="284">
        <f t="shared" si="0"/>
        <v>0</v>
      </c>
      <c r="N11" s="30" t="s">
        <v>87</v>
      </c>
      <c r="P11" s="30" t="s">
        <v>535</v>
      </c>
      <c r="Q11" s="282" t="str">
        <f>G11</f>
        <v>Self-Wt</v>
      </c>
      <c r="R11" s="282">
        <f>H11</f>
        <v>100</v>
      </c>
      <c r="S11" s="39" t="s">
        <v>204</v>
      </c>
      <c r="T11" s="1"/>
      <c r="V11" s="17" t="s">
        <v>16</v>
      </c>
      <c r="W11" s="18">
        <v>2.5</v>
      </c>
      <c r="X11" s="18">
        <v>1.7</v>
      </c>
      <c r="Y11" s="18">
        <v>1.2</v>
      </c>
      <c r="Z11" s="18">
        <v>0.9</v>
      </c>
      <c r="AA11" s="18">
        <v>0.9</v>
      </c>
      <c r="AB11" s="18">
        <v>0.9</v>
      </c>
      <c r="AF11" s="30" t="s">
        <v>556</v>
      </c>
      <c r="AG11" s="39">
        <v>2</v>
      </c>
      <c r="AH11" s="39">
        <v>2.5</v>
      </c>
      <c r="AI11" s="39">
        <v>1.75</v>
      </c>
      <c r="AJ11" s="39" t="s">
        <v>64</v>
      </c>
      <c r="AK11" s="30" t="s">
        <v>574</v>
      </c>
      <c r="AL11" s="53" t="s">
        <v>557</v>
      </c>
      <c r="AM11" s="30"/>
      <c r="AN11" s="30"/>
    </row>
    <row r="12" spans="2:40" x14ac:dyDescent="0.25">
      <c r="B12" s="39" t="s">
        <v>220</v>
      </c>
      <c r="C12" s="281" t="s">
        <v>279</v>
      </c>
      <c r="D12" s="30"/>
      <c r="L12" s="39" t="s">
        <v>220</v>
      </c>
      <c r="M12" s="283" t="str">
        <f t="shared" si="0"/>
        <v>Flat</v>
      </c>
      <c r="N12" s="30"/>
      <c r="V12" s="14" t="s">
        <v>17</v>
      </c>
      <c r="W12" s="20"/>
      <c r="X12" s="20"/>
      <c r="Y12" s="20"/>
      <c r="Z12" s="20"/>
      <c r="AA12" s="20"/>
      <c r="AB12" s="20"/>
      <c r="AF12" s="30" t="s">
        <v>565</v>
      </c>
      <c r="AG12" s="39">
        <v>8</v>
      </c>
      <c r="AH12" s="39">
        <v>3</v>
      </c>
      <c r="AI12" s="39">
        <v>5.5</v>
      </c>
      <c r="AJ12" s="39" t="s">
        <v>64</v>
      </c>
      <c r="AK12" s="30" t="s">
        <v>574</v>
      </c>
      <c r="AL12" s="53" t="s">
        <v>566</v>
      </c>
      <c r="AM12" s="30"/>
      <c r="AN12" s="30"/>
    </row>
    <row r="13" spans="2:40" x14ac:dyDescent="0.25">
      <c r="B13" s="39" t="s">
        <v>601</v>
      </c>
      <c r="C13" s="281" t="s">
        <v>602</v>
      </c>
      <c r="D13" s="30"/>
      <c r="L13" s="39" t="s">
        <v>601</v>
      </c>
      <c r="M13" s="283" t="str">
        <f t="shared" si="0"/>
        <v>rise/run</v>
      </c>
      <c r="N13" s="30"/>
      <c r="V13" s="21" t="str">
        <f>'ENV|In'!M24</f>
        <v>D</v>
      </c>
      <c r="W13" s="22">
        <f>VLOOKUP($V$13,$V$7:$AB$12,2,FALSE)</f>
        <v>1.6</v>
      </c>
      <c r="X13" s="22">
        <f>VLOOKUP($V$13,$V$7:$AB$12,3,FALSE)</f>
        <v>1.4</v>
      </c>
      <c r="Y13" s="22">
        <f>VLOOKUP($V$13,$V$7:$AB$12,4,FALSE)</f>
        <v>1.2</v>
      </c>
      <c r="Z13" s="22">
        <f>VLOOKUP($V$13,$V$7:$AB$12,5,FALSE)</f>
        <v>1.1000000000000001</v>
      </c>
      <c r="AA13" s="22">
        <f>VLOOKUP($V$13,$V$7:$AB$12,6,FALSE)</f>
        <v>1</v>
      </c>
      <c r="AB13" s="22">
        <f>VLOOKUP($V$13,$V$7:$AB$12,7,FALSE)</f>
        <v>1</v>
      </c>
      <c r="AF13" s="30" t="s">
        <v>558</v>
      </c>
      <c r="AG13" s="39">
        <v>3.5</v>
      </c>
      <c r="AH13" s="39">
        <v>3</v>
      </c>
      <c r="AI13" s="39">
        <v>3</v>
      </c>
      <c r="AJ13" s="39" t="s">
        <v>64</v>
      </c>
      <c r="AK13" s="30" t="s">
        <v>574</v>
      </c>
      <c r="AL13" s="53" t="s">
        <v>559</v>
      </c>
      <c r="AM13" s="30"/>
      <c r="AN13" s="30"/>
    </row>
    <row r="14" spans="2:40" x14ac:dyDescent="0.25">
      <c r="B14" s="39" t="s">
        <v>216</v>
      </c>
      <c r="C14" s="280">
        <v>1</v>
      </c>
      <c r="D14" s="30"/>
      <c r="L14" s="39" t="s">
        <v>216</v>
      </c>
      <c r="M14" s="286">
        <f t="shared" si="0"/>
        <v>1</v>
      </c>
      <c r="N14" s="30"/>
      <c r="V14" s="21" t="s">
        <v>21</v>
      </c>
      <c r="W14" s="22" t="b">
        <f>IF(AC6&lt;=W6,TRUE,FALSE)</f>
        <v>1</v>
      </c>
      <c r="X14" s="22" t="b">
        <f>IF(AND(AC6&gt;W6,AC6&lt;=X6),TRUE,FALSE)</f>
        <v>0</v>
      </c>
      <c r="Y14" s="22" t="b">
        <f>IF(AND(AC6&gt;X6,AC6&lt;=Y6),TRUE,FALSE)</f>
        <v>0</v>
      </c>
      <c r="Z14" s="22" t="b">
        <f>IF(AND(AC6&gt;Y6,AC6&lt;=Z6),TRUE,FALSE)</f>
        <v>0</v>
      </c>
      <c r="AA14" s="22" t="b">
        <f>IF(AND(AC6&gt;Z6,AC6&lt;=AA6),TRUE,FALSE)</f>
        <v>0</v>
      </c>
      <c r="AB14" s="22" t="b">
        <f>IF(AC6&gt;=AB6,TRUE,FALSE)</f>
        <v>0</v>
      </c>
      <c r="AF14" s="30" t="s">
        <v>567</v>
      </c>
      <c r="AG14" s="39">
        <v>2.5</v>
      </c>
      <c r="AH14" s="39">
        <v>1.25</v>
      </c>
      <c r="AI14" s="39">
        <v>2.5</v>
      </c>
      <c r="AJ14" s="39" t="s">
        <v>64</v>
      </c>
      <c r="AK14" s="30" t="s">
        <v>574</v>
      </c>
      <c r="AL14" s="53" t="s">
        <v>568</v>
      </c>
      <c r="AM14" s="30"/>
      <c r="AN14" s="30"/>
    </row>
    <row r="15" spans="2:40" x14ac:dyDescent="0.25">
      <c r="B15" s="39" t="s">
        <v>217</v>
      </c>
      <c r="C15" s="280">
        <v>12</v>
      </c>
      <c r="D15" s="30"/>
      <c r="L15" s="39" t="s">
        <v>217</v>
      </c>
      <c r="M15" s="286">
        <f t="shared" si="0"/>
        <v>12</v>
      </c>
      <c r="N15" s="30"/>
      <c r="W15" s="208">
        <f>IF(W14=TRUE,W13,0)</f>
        <v>1.6</v>
      </c>
      <c r="X15" s="208">
        <f>IF(X14=TRUE,((W13-X13)/(W6-X6))*($AC$6-W6)+W13,0)</f>
        <v>0</v>
      </c>
      <c r="Y15" s="208">
        <f>IF(Y14=TRUE,((X13-Y13)/(X6-Y6))*($AC$6-X6)+X13,0)</f>
        <v>0</v>
      </c>
      <c r="Z15" s="208">
        <f>IF(Z14=TRUE,((Y13-Z13)/(Y6-Z6))*($AC$6-Y6)+Y13,0)</f>
        <v>0</v>
      </c>
      <c r="AA15" s="208">
        <f>IF(AA14=TRUE,((Z13-AA13)/(Z6-AA6))*($AC$6-Z6)+Z13,0)</f>
        <v>0</v>
      </c>
      <c r="AB15" s="208">
        <f>IF(AB14=TRUE,AB13,0)</f>
        <v>0</v>
      </c>
      <c r="AF15" s="30" t="s">
        <v>569</v>
      </c>
      <c r="AG15" s="39">
        <v>1.25</v>
      </c>
      <c r="AH15" s="39">
        <v>1.25</v>
      </c>
      <c r="AI15" s="39">
        <v>1.25</v>
      </c>
      <c r="AJ15" s="39" t="s">
        <v>64</v>
      </c>
      <c r="AK15" s="30" t="s">
        <v>574</v>
      </c>
      <c r="AL15" s="53" t="s">
        <v>570</v>
      </c>
      <c r="AM15" s="30"/>
      <c r="AN15" s="30"/>
    </row>
    <row r="16" spans="2:40" ht="18" x14ac:dyDescent="0.25">
      <c r="B16" s="39" t="s">
        <v>604</v>
      </c>
      <c r="C16" s="280">
        <v>0</v>
      </c>
      <c r="D16" s="30" t="s">
        <v>87</v>
      </c>
      <c r="L16" s="39" t="s">
        <v>604</v>
      </c>
      <c r="M16" s="286">
        <f t="shared" si="0"/>
        <v>0</v>
      </c>
      <c r="N16" s="30" t="s">
        <v>87</v>
      </c>
      <c r="AA16" s="213" t="s">
        <v>26</v>
      </c>
      <c r="AB16" s="208">
        <f>SUM(W15:AB15)</f>
        <v>1.6</v>
      </c>
      <c r="AF16" s="30" t="s">
        <v>571</v>
      </c>
      <c r="AG16" s="39">
        <v>1.5</v>
      </c>
      <c r="AH16" s="39">
        <v>1.5</v>
      </c>
      <c r="AI16" s="39">
        <v>1.5</v>
      </c>
      <c r="AJ16" s="39" t="s">
        <v>64</v>
      </c>
      <c r="AK16" s="30" t="s">
        <v>574</v>
      </c>
      <c r="AL16" s="53" t="s">
        <v>572</v>
      </c>
      <c r="AM16" s="30"/>
      <c r="AN16" s="30"/>
    </row>
    <row r="17" spans="2:40" ht="18" x14ac:dyDescent="0.25">
      <c r="B17" s="39" t="s">
        <v>603</v>
      </c>
      <c r="C17" s="287">
        <f>C8</f>
        <v>10</v>
      </c>
      <c r="D17" s="30" t="s">
        <v>87</v>
      </c>
      <c r="L17" s="39" t="s">
        <v>603</v>
      </c>
      <c r="M17" s="286">
        <f t="shared" si="0"/>
        <v>10</v>
      </c>
      <c r="N17" s="30" t="s">
        <v>87</v>
      </c>
      <c r="AF17" s="30" t="s">
        <v>558</v>
      </c>
      <c r="AG17" s="39">
        <v>3.5</v>
      </c>
      <c r="AH17" s="39">
        <v>3</v>
      </c>
      <c r="AI17" s="39">
        <v>3</v>
      </c>
      <c r="AJ17" s="39">
        <v>107</v>
      </c>
      <c r="AK17" s="30" t="s">
        <v>575</v>
      </c>
      <c r="AL17" s="53" t="s">
        <v>559</v>
      </c>
      <c r="AM17" s="30"/>
      <c r="AN17" s="30"/>
    </row>
    <row r="18" spans="2:40" ht="18" x14ac:dyDescent="0.25">
      <c r="L18" s="39" t="s">
        <v>218</v>
      </c>
      <c r="M18" s="148">
        <f>DEGREES(ATAN(M14/M15))</f>
        <v>4.7636416907261774</v>
      </c>
      <c r="N18" s="30" t="s">
        <v>219</v>
      </c>
      <c r="V18" s="41" t="s">
        <v>22</v>
      </c>
      <c r="W18" s="41"/>
      <c r="X18" s="41"/>
      <c r="Y18" s="41"/>
      <c r="Z18" s="41"/>
      <c r="AA18" s="41"/>
      <c r="AF18" s="30" t="s">
        <v>576</v>
      </c>
      <c r="AG18" s="39">
        <v>2.5</v>
      </c>
      <c r="AH18" s="39">
        <v>2</v>
      </c>
      <c r="AI18" s="39">
        <v>2.5</v>
      </c>
      <c r="AJ18" s="39">
        <v>107</v>
      </c>
      <c r="AK18" s="30" t="s">
        <v>575</v>
      </c>
      <c r="AL18" s="53" t="s">
        <v>577</v>
      </c>
      <c r="AM18" s="30"/>
      <c r="AN18" s="30"/>
    </row>
    <row r="19" spans="2:40" ht="18" x14ac:dyDescent="0.25">
      <c r="B19" s="45" t="s">
        <v>486</v>
      </c>
      <c r="V19" s="48" t="s">
        <v>9</v>
      </c>
      <c r="W19" s="13" t="s">
        <v>23</v>
      </c>
      <c r="X19" s="13" t="s">
        <v>24</v>
      </c>
      <c r="Y19" s="13" t="s">
        <v>24</v>
      </c>
      <c r="Z19" s="13" t="s">
        <v>24</v>
      </c>
      <c r="AA19" s="13" t="s">
        <v>459</v>
      </c>
      <c r="AB19" s="13" t="s">
        <v>25</v>
      </c>
      <c r="AF19" s="53" t="s">
        <v>579</v>
      </c>
      <c r="AG19" s="39">
        <v>3</v>
      </c>
      <c r="AH19" s="39">
        <v>2</v>
      </c>
      <c r="AI19" s="39">
        <v>2.5</v>
      </c>
      <c r="AJ19" s="39" t="s">
        <v>65</v>
      </c>
      <c r="AK19" s="30" t="s">
        <v>581</v>
      </c>
      <c r="AL19" s="53" t="s">
        <v>578</v>
      </c>
      <c r="AM19" s="30"/>
      <c r="AN19" s="30"/>
    </row>
    <row r="20" spans="2:40" x14ac:dyDescent="0.25">
      <c r="B20" s="30" t="s">
        <v>43</v>
      </c>
      <c r="C20" s="40" t="s">
        <v>44</v>
      </c>
      <c r="D20" s="30" t="s">
        <v>45</v>
      </c>
      <c r="E20" s="39" t="s">
        <v>46</v>
      </c>
      <c r="F20" s="30" t="s">
        <v>59</v>
      </c>
      <c r="G20" s="30"/>
      <c r="L20" s="45" t="s">
        <v>135</v>
      </c>
      <c r="V20" s="49" t="s">
        <v>230</v>
      </c>
      <c r="W20" s="15">
        <v>0.1</v>
      </c>
      <c r="X20" s="15">
        <v>0.2</v>
      </c>
      <c r="Y20" s="15">
        <v>0.3</v>
      </c>
      <c r="Z20" s="15">
        <v>0.4</v>
      </c>
      <c r="AA20" s="15">
        <v>0.5</v>
      </c>
      <c r="AB20" s="15">
        <v>0.5</v>
      </c>
      <c r="AC20" s="208">
        <f>'ENV|In'!M26</f>
        <v>3.5999999999999997E-2</v>
      </c>
      <c r="AF20" s="30" t="s">
        <v>580</v>
      </c>
      <c r="AG20" s="39">
        <v>2</v>
      </c>
      <c r="AH20" s="39">
        <v>2</v>
      </c>
      <c r="AI20" s="39">
        <v>2.5</v>
      </c>
      <c r="AJ20" s="39" t="s">
        <v>65</v>
      </c>
      <c r="AK20" s="30" t="s">
        <v>581</v>
      </c>
      <c r="AL20" s="53" t="s">
        <v>582</v>
      </c>
      <c r="AM20" s="30"/>
      <c r="AN20" s="30"/>
    </row>
    <row r="21" spans="2:40" x14ac:dyDescent="0.25">
      <c r="B21" s="1" t="s">
        <v>162</v>
      </c>
      <c r="C21" s="3" t="s">
        <v>32</v>
      </c>
      <c r="E21" s="1">
        <v>2</v>
      </c>
      <c r="F21" t="s">
        <v>47</v>
      </c>
      <c r="L21" s="30" t="s">
        <v>43</v>
      </c>
      <c r="M21" s="40" t="s">
        <v>44</v>
      </c>
      <c r="N21" s="30" t="s">
        <v>45</v>
      </c>
      <c r="O21" s="39" t="s">
        <v>46</v>
      </c>
      <c r="P21" s="30" t="s">
        <v>59</v>
      </c>
      <c r="Q21" s="30"/>
      <c r="V21" s="16" t="s">
        <v>13</v>
      </c>
      <c r="W21" s="210">
        <v>0.8</v>
      </c>
      <c r="X21" s="210">
        <v>0.8</v>
      </c>
      <c r="Y21" s="210">
        <v>0.8</v>
      </c>
      <c r="Z21" s="210">
        <v>0.8</v>
      </c>
      <c r="AA21" s="210">
        <v>0.8</v>
      </c>
      <c r="AB21" s="210">
        <v>0.8</v>
      </c>
      <c r="AF21" s="30" t="s">
        <v>583</v>
      </c>
      <c r="AG21" s="39">
        <v>3</v>
      </c>
      <c r="AH21" s="39">
        <v>2</v>
      </c>
      <c r="AI21" s="39">
        <v>2.5</v>
      </c>
      <c r="AJ21" s="39" t="s">
        <v>65</v>
      </c>
      <c r="AK21" s="30" t="s">
        <v>581</v>
      </c>
      <c r="AL21" s="53" t="s">
        <v>584</v>
      </c>
      <c r="AM21" s="30"/>
      <c r="AN21" s="30"/>
    </row>
    <row r="22" spans="2:40" x14ac:dyDescent="0.25">
      <c r="B22" s="1" t="s">
        <v>9</v>
      </c>
      <c r="C22" s="3" t="s">
        <v>10</v>
      </c>
      <c r="E22" s="1">
        <v>54</v>
      </c>
      <c r="F22" t="s">
        <v>50</v>
      </c>
      <c r="L22" s="1" t="s">
        <v>162</v>
      </c>
      <c r="M22" s="211" t="str">
        <f>C21</f>
        <v>II</v>
      </c>
      <c r="O22" s="1">
        <v>2</v>
      </c>
      <c r="P22" t="s">
        <v>47</v>
      </c>
      <c r="V22" s="17" t="s">
        <v>14</v>
      </c>
      <c r="W22" s="18">
        <v>1</v>
      </c>
      <c r="X22" s="18">
        <v>1</v>
      </c>
      <c r="Y22" s="18">
        <v>1</v>
      </c>
      <c r="Z22" s="18">
        <v>1</v>
      </c>
      <c r="AA22" s="18">
        <v>1</v>
      </c>
      <c r="AB22" s="18">
        <v>1</v>
      </c>
      <c r="AF22" s="30" t="s">
        <v>585</v>
      </c>
      <c r="AG22" s="39">
        <v>2.5</v>
      </c>
      <c r="AH22" s="39">
        <v>2</v>
      </c>
      <c r="AI22" s="39">
        <v>2</v>
      </c>
      <c r="AJ22" s="39" t="s">
        <v>65</v>
      </c>
      <c r="AK22" s="30" t="s">
        <v>581</v>
      </c>
      <c r="AL22" s="53" t="s">
        <v>586</v>
      </c>
      <c r="AM22" s="30"/>
      <c r="AN22" s="30"/>
    </row>
    <row r="23" spans="2:40" ht="18" x14ac:dyDescent="0.25">
      <c r="B23" s="1" t="s">
        <v>6</v>
      </c>
      <c r="C23" s="2">
        <v>5.2999999999999999E-2</v>
      </c>
      <c r="D23" t="s">
        <v>8</v>
      </c>
      <c r="E23" s="1">
        <v>54</v>
      </c>
      <c r="F23" t="s">
        <v>49</v>
      </c>
      <c r="L23" s="1" t="s">
        <v>39</v>
      </c>
      <c r="M23" s="12">
        <f>Z39</f>
        <v>1</v>
      </c>
      <c r="O23" s="1">
        <v>4</v>
      </c>
      <c r="P23" t="s">
        <v>48</v>
      </c>
      <c r="V23" s="17" t="s">
        <v>15</v>
      </c>
      <c r="W23" s="18">
        <v>1.7</v>
      </c>
      <c r="X23" s="18">
        <v>1.6</v>
      </c>
      <c r="Y23" s="18">
        <v>1.5</v>
      </c>
      <c r="Z23" s="18">
        <v>1.4</v>
      </c>
      <c r="AA23" s="18">
        <v>1.3</v>
      </c>
      <c r="AB23" s="18">
        <v>1.3</v>
      </c>
      <c r="AF23" s="30" t="s">
        <v>587</v>
      </c>
      <c r="AG23" s="39">
        <v>2</v>
      </c>
      <c r="AH23" s="39">
        <v>2</v>
      </c>
      <c r="AI23" s="39">
        <v>2</v>
      </c>
      <c r="AJ23" s="39" t="s">
        <v>65</v>
      </c>
      <c r="AK23" s="30" t="s">
        <v>581</v>
      </c>
      <c r="AL23" s="53" t="s">
        <v>588</v>
      </c>
      <c r="AM23" s="30"/>
      <c r="AN23" s="30"/>
    </row>
    <row r="24" spans="2:40" ht="18" x14ac:dyDescent="0.25">
      <c r="B24" s="1" t="s">
        <v>7</v>
      </c>
      <c r="C24" s="2">
        <v>3.5999999999999997E-2</v>
      </c>
      <c r="D24" t="s">
        <v>8</v>
      </c>
      <c r="E24" s="1">
        <v>54</v>
      </c>
      <c r="F24" t="s">
        <v>49</v>
      </c>
      <c r="L24" s="1" t="s">
        <v>9</v>
      </c>
      <c r="M24" s="211" t="str">
        <f>C22</f>
        <v>D</v>
      </c>
      <c r="O24" s="1">
        <v>54</v>
      </c>
      <c r="P24" t="s">
        <v>50</v>
      </c>
      <c r="V24" s="17" t="s">
        <v>10</v>
      </c>
      <c r="W24" s="18">
        <v>2.4</v>
      </c>
      <c r="X24" s="18">
        <v>2</v>
      </c>
      <c r="Y24" s="18">
        <v>1.8</v>
      </c>
      <c r="Z24" s="18">
        <v>1.6</v>
      </c>
      <c r="AA24" s="18">
        <v>1.5</v>
      </c>
      <c r="AB24" s="18">
        <v>1.5</v>
      </c>
      <c r="AF24" s="34" t="s">
        <v>73</v>
      </c>
      <c r="AG24" s="117">
        <v>1.25</v>
      </c>
      <c r="AH24" s="117">
        <v>2</v>
      </c>
      <c r="AI24" s="117">
        <v>2.5</v>
      </c>
      <c r="AJ24" s="117" t="s">
        <v>65</v>
      </c>
      <c r="AK24" s="34" t="s">
        <v>581</v>
      </c>
      <c r="AL24" s="216" t="s">
        <v>589</v>
      </c>
      <c r="AM24" s="34"/>
      <c r="AN24" s="34"/>
    </row>
    <row r="25" spans="2:40" ht="18" x14ac:dyDescent="0.25">
      <c r="B25" s="1" t="s">
        <v>590</v>
      </c>
      <c r="C25" s="3" t="s">
        <v>73</v>
      </c>
      <c r="E25" t="str">
        <f>AL25</f>
        <v>All other self-supporting structures</v>
      </c>
      <c r="L25" s="1" t="s">
        <v>6</v>
      </c>
      <c r="M25" s="212">
        <f>C23</f>
        <v>5.2999999999999999E-2</v>
      </c>
      <c r="N25" t="s">
        <v>8</v>
      </c>
      <c r="O25" s="1">
        <v>54</v>
      </c>
      <c r="P25" t="s">
        <v>49</v>
      </c>
      <c r="V25" s="17" t="s">
        <v>16</v>
      </c>
      <c r="W25" s="18">
        <v>3.5</v>
      </c>
      <c r="X25" s="18">
        <v>3.2</v>
      </c>
      <c r="Y25" s="18">
        <v>2.8</v>
      </c>
      <c r="Z25" s="18">
        <v>2.4</v>
      </c>
      <c r="AA25" s="18">
        <v>2.4</v>
      </c>
      <c r="AB25" s="18">
        <v>2.4</v>
      </c>
      <c r="AF25" s="38" t="str">
        <f>C25</f>
        <v>Other</v>
      </c>
      <c r="AG25" s="21">
        <f>VLOOKUP($AF$25,$AF$6:$AL$24,2,FALSE)</f>
        <v>1.25</v>
      </c>
      <c r="AH25" s="21">
        <f>VLOOKUP($AF$25,$AF$6:$AL$24,3,FALSE)</f>
        <v>2</v>
      </c>
      <c r="AI25" s="21">
        <f>VLOOKUP($AF$25,$AF$6:$AL$24,4,FALSE)</f>
        <v>2.5</v>
      </c>
      <c r="AJ25" s="21" t="str">
        <f>VLOOKUP($AF$25,$AF$6:$AL$24,5,FALSE)</f>
        <v>108-109</v>
      </c>
      <c r="AK25" s="217" t="str">
        <f>VLOOKUP($AF$25,$AF$6:$AL$24,6,FALSE)</f>
        <v>T15.4-2</v>
      </c>
      <c r="AL25" s="217" t="str">
        <f>VLOOKUP($AF$25,$AF$6:$AL$24,7,FALSE)</f>
        <v>All other self-supporting structures</v>
      </c>
    </row>
    <row r="26" spans="2:40" ht="18" x14ac:dyDescent="0.25">
      <c r="B26" s="1" t="s">
        <v>68</v>
      </c>
      <c r="C26" s="3" t="s">
        <v>73</v>
      </c>
      <c r="E26" s="1">
        <v>72</v>
      </c>
      <c r="F26" s="1" t="s">
        <v>74</v>
      </c>
      <c r="L26" s="1" t="s">
        <v>7</v>
      </c>
      <c r="M26" s="212">
        <f>C24</f>
        <v>3.5999999999999997E-2</v>
      </c>
      <c r="N26" t="s">
        <v>8</v>
      </c>
      <c r="O26" s="1">
        <v>54</v>
      </c>
      <c r="P26" t="s">
        <v>49</v>
      </c>
      <c r="V26" s="14" t="s">
        <v>17</v>
      </c>
      <c r="W26" s="20"/>
      <c r="X26" s="20"/>
      <c r="Y26" s="20"/>
      <c r="Z26" s="20"/>
      <c r="AA26" s="20"/>
      <c r="AB26" s="20"/>
    </row>
    <row r="27" spans="2:40" ht="18" x14ac:dyDescent="0.25">
      <c r="B27" s="1" t="s">
        <v>72</v>
      </c>
      <c r="C27" s="19">
        <f>M40</f>
        <v>0.11246826503806984</v>
      </c>
      <c r="D27" t="s">
        <v>29</v>
      </c>
      <c r="E27" s="1">
        <v>72</v>
      </c>
      <c r="F27" t="s">
        <v>89</v>
      </c>
      <c r="L27" s="1" t="s">
        <v>2</v>
      </c>
      <c r="M27" s="19">
        <f>'ENV|In'!AB16</f>
        <v>1.6</v>
      </c>
      <c r="O27" s="1">
        <v>55</v>
      </c>
      <c r="P27" t="s">
        <v>52</v>
      </c>
      <c r="V27" s="21" t="str">
        <f>'ENV|In'!M24</f>
        <v>D</v>
      </c>
      <c r="W27" s="22">
        <f>VLOOKUP($V$27,$V$21:$AB$26,2,FALSE)</f>
        <v>2.4</v>
      </c>
      <c r="X27" s="22">
        <f>VLOOKUP($V$27,$V$21:$AB$26,3,FALSE)</f>
        <v>2</v>
      </c>
      <c r="Y27" s="22">
        <f>VLOOKUP($V$27,$V$21:$AB$26,4,FALSE)</f>
        <v>1.8</v>
      </c>
      <c r="Z27" s="22">
        <f>VLOOKUP($V$27,$V$21:$AB$26,5,FALSE)</f>
        <v>1.6</v>
      </c>
      <c r="AA27" s="22">
        <f>VLOOKUP($V$27,$V$21:$AB$26,6,FALSE)</f>
        <v>1.5</v>
      </c>
      <c r="AB27" s="22">
        <f>VLOOKUP($V$27,$V$21:$AB$26,7,FALSE)</f>
        <v>1.5</v>
      </c>
    </row>
    <row r="28" spans="2:40" ht="18" x14ac:dyDescent="0.25">
      <c r="B28" s="1" t="s">
        <v>115</v>
      </c>
      <c r="C28" s="2">
        <f>C27</f>
        <v>0.11246826503806984</v>
      </c>
      <c r="D28" t="s">
        <v>29</v>
      </c>
      <c r="E28" s="1">
        <v>72</v>
      </c>
      <c r="F28" t="s">
        <v>116</v>
      </c>
      <c r="L28" s="1" t="s">
        <v>3</v>
      </c>
      <c r="M28" s="19">
        <f>'ENV|In'!AB30</f>
        <v>2.4</v>
      </c>
      <c r="O28" s="1">
        <v>55</v>
      </c>
      <c r="P28" t="s">
        <v>51</v>
      </c>
      <c r="V28" s="21" t="s">
        <v>21</v>
      </c>
      <c r="W28" s="22" t="b">
        <f>IF(AC20&lt;=W20,TRUE,FALSE)</f>
        <v>1</v>
      </c>
      <c r="X28" s="22" t="b">
        <f>IF(AND(AC20&gt;W20,AC20&lt;=X20),TRUE,FALSE)</f>
        <v>0</v>
      </c>
      <c r="Y28" s="22" t="b">
        <f>IF(AND(AC20&gt;X20,AC20&lt;=Y20),TRUE,FALSE)</f>
        <v>0</v>
      </c>
      <c r="Z28" s="22" t="b">
        <f>IF(AND(AC20&gt;Y20,AC20&lt;=Z20),TRUE,FALSE)</f>
        <v>0</v>
      </c>
      <c r="AA28" s="22" t="b">
        <f>IF(AND(AC20&gt;Z20,AC20&lt;=AA20),TRUE,FALSE)</f>
        <v>0</v>
      </c>
      <c r="AB28" s="22" t="b">
        <f>IF(AC20&gt;=AB20,TRUE,FALSE)</f>
        <v>0</v>
      </c>
    </row>
    <row r="29" spans="2:40" ht="18" x14ac:dyDescent="0.25">
      <c r="B29" s="1" t="s">
        <v>28</v>
      </c>
      <c r="C29" s="4">
        <v>12</v>
      </c>
      <c r="D29" t="s">
        <v>29</v>
      </c>
      <c r="E29" s="1" t="s">
        <v>57</v>
      </c>
      <c r="F29" s="1" t="s">
        <v>58</v>
      </c>
      <c r="L29" s="1" t="s">
        <v>0</v>
      </c>
      <c r="M29" s="19">
        <f>M27*M25</f>
        <v>8.48E-2</v>
      </c>
      <c r="N29" t="s">
        <v>8</v>
      </c>
      <c r="O29" s="1">
        <v>55</v>
      </c>
      <c r="P29" t="s">
        <v>53</v>
      </c>
      <c r="W29" s="208">
        <f>IF(W28=TRUE,W27,0)</f>
        <v>2.4</v>
      </c>
      <c r="X29" s="208">
        <f>IF(X28=TRUE,((W27-X27)/(W20-X20))*($AC$20-W20)+W27,0)</f>
        <v>0</v>
      </c>
      <c r="Y29" s="208">
        <f>IF(Y28=TRUE,((X27-Y27)/(X20-Y20))*($AC$20-X20)+X27,0)</f>
        <v>0</v>
      </c>
      <c r="Z29" s="208">
        <f>IF(Z28=TRUE,((Y27-Z27)/(Y20-Z20))*($AC$20-Y20)+Y27,0)</f>
        <v>0</v>
      </c>
      <c r="AA29" s="208">
        <f>IF(AA28=TRUE,((Z27-AA27)/(Z20-AA20))*($AC$20-Z20)+Z27,0)</f>
        <v>0</v>
      </c>
      <c r="AB29" s="208">
        <f>IF(AB28=TRUE,AB27,0)</f>
        <v>0</v>
      </c>
    </row>
    <row r="30" spans="2:40" ht="18" x14ac:dyDescent="0.25">
      <c r="B30" s="215" t="s">
        <v>111</v>
      </c>
      <c r="C30" s="7">
        <v>1</v>
      </c>
      <c r="E30" s="1">
        <v>67</v>
      </c>
      <c r="F30" t="s">
        <v>112</v>
      </c>
      <c r="L30" s="1" t="s">
        <v>1</v>
      </c>
      <c r="M30" s="19">
        <f>M28*M26</f>
        <v>8.6399999999999991E-2</v>
      </c>
      <c r="N30" t="s">
        <v>8</v>
      </c>
      <c r="O30" s="1">
        <v>55</v>
      </c>
      <c r="P30" t="s">
        <v>54</v>
      </c>
      <c r="AA30" s="213" t="s">
        <v>27</v>
      </c>
      <c r="AB30" s="208">
        <f>SUM(W29:AB29)</f>
        <v>2.4</v>
      </c>
    </row>
    <row r="31" spans="2:40" ht="18" x14ac:dyDescent="0.25">
      <c r="B31" s="1" t="s">
        <v>119</v>
      </c>
      <c r="C31" s="3" t="s">
        <v>120</v>
      </c>
      <c r="E31" s="1">
        <v>71</v>
      </c>
      <c r="F31" t="s">
        <v>121</v>
      </c>
      <c r="L31" s="1" t="s">
        <v>4</v>
      </c>
      <c r="M31" s="19">
        <f>(2/3)*M29</f>
        <v>5.6533333333333331E-2</v>
      </c>
      <c r="N31" t="s">
        <v>8</v>
      </c>
      <c r="O31" s="1">
        <v>55</v>
      </c>
      <c r="P31" t="s">
        <v>55</v>
      </c>
      <c r="Z31" s="213"/>
      <c r="AA31" s="208"/>
    </row>
    <row r="32" spans="2:40" ht="18" x14ac:dyDescent="0.25">
      <c r="B32" s="1" t="s">
        <v>418</v>
      </c>
      <c r="C32" s="3" t="s">
        <v>421</v>
      </c>
      <c r="E32" s="1">
        <v>66</v>
      </c>
      <c r="F32" t="s">
        <v>419</v>
      </c>
      <c r="L32" s="1" t="s">
        <v>5</v>
      </c>
      <c r="M32" s="19">
        <f>(2/3)*M30</f>
        <v>5.7599999999999991E-2</v>
      </c>
      <c r="N32" t="s">
        <v>8</v>
      </c>
      <c r="O32" s="1">
        <v>55</v>
      </c>
      <c r="P32" t="s">
        <v>56</v>
      </c>
      <c r="V32" s="41" t="s">
        <v>31</v>
      </c>
      <c r="W32" s="41"/>
      <c r="X32" s="41"/>
      <c r="Y32" s="41"/>
      <c r="Z32" s="220"/>
      <c r="AA32" s="208"/>
    </row>
    <row r="33" spans="2:28" x14ac:dyDescent="0.25">
      <c r="B33" s="1" t="s">
        <v>417</v>
      </c>
      <c r="C33" s="3" t="s">
        <v>421</v>
      </c>
      <c r="E33" s="1">
        <v>66</v>
      </c>
      <c r="F33" t="s">
        <v>420</v>
      </c>
      <c r="L33" s="1" t="s">
        <v>60</v>
      </c>
      <c r="M33" s="214">
        <f>AG25</f>
        <v>1.25</v>
      </c>
      <c r="O33" s="1" t="str">
        <f>AJ25</f>
        <v>108-109</v>
      </c>
      <c r="P33" t="str">
        <f>AK25</f>
        <v>T15.4-2</v>
      </c>
      <c r="V33" s="48" t="s">
        <v>228</v>
      </c>
      <c r="W33" s="13" t="s">
        <v>34</v>
      </c>
      <c r="X33" s="13" t="s">
        <v>35</v>
      </c>
      <c r="Y33" s="13" t="s">
        <v>40</v>
      </c>
      <c r="Z33" s="221" t="s">
        <v>41</v>
      </c>
      <c r="AA33" s="208"/>
    </row>
    <row r="34" spans="2:28" ht="18" x14ac:dyDescent="0.25">
      <c r="L34" s="1" t="s">
        <v>61</v>
      </c>
      <c r="M34" s="214">
        <f>AH25</f>
        <v>2</v>
      </c>
      <c r="O34" s="1" t="str">
        <f>O33</f>
        <v>108-109</v>
      </c>
      <c r="P34" t="str">
        <f>P33</f>
        <v>T15.4-2</v>
      </c>
      <c r="V34" s="49" t="s">
        <v>229</v>
      </c>
      <c r="W34" s="14" t="s">
        <v>36</v>
      </c>
      <c r="X34" s="14" t="s">
        <v>37</v>
      </c>
      <c r="Y34" s="14" t="s">
        <v>38</v>
      </c>
      <c r="Z34" s="14" t="s">
        <v>39</v>
      </c>
      <c r="AA34" s="208"/>
    </row>
    <row r="35" spans="2:28" ht="18" x14ac:dyDescent="0.25">
      <c r="L35" s="1" t="s">
        <v>62</v>
      </c>
      <c r="M35" s="214">
        <f>AI25</f>
        <v>2.5</v>
      </c>
      <c r="O35" s="1" t="str">
        <f>O33</f>
        <v>108-109</v>
      </c>
      <c r="P35" t="str">
        <f>P33</f>
        <v>T15.4-2</v>
      </c>
      <c r="V35" s="16" t="s">
        <v>30</v>
      </c>
      <c r="W35" s="23">
        <v>0.8</v>
      </c>
      <c r="X35" s="23">
        <v>0.8</v>
      </c>
      <c r="Y35" s="23">
        <v>1</v>
      </c>
      <c r="Z35" s="224">
        <v>1</v>
      </c>
      <c r="AA35" s="208"/>
    </row>
    <row r="36" spans="2:28" x14ac:dyDescent="0.25">
      <c r="L36" s="1" t="s">
        <v>68</v>
      </c>
      <c r="M36" s="211" t="str">
        <f>C26</f>
        <v>Other</v>
      </c>
      <c r="O36" s="1">
        <v>72</v>
      </c>
      <c r="P36" s="1" t="s">
        <v>74</v>
      </c>
      <c r="V36" s="17" t="s">
        <v>32</v>
      </c>
      <c r="W36" s="24">
        <v>1</v>
      </c>
      <c r="X36" s="24">
        <v>1</v>
      </c>
      <c r="Y36" s="24">
        <v>1</v>
      </c>
      <c r="Z36" s="225">
        <v>1</v>
      </c>
      <c r="AA36" s="208"/>
    </row>
    <row r="37" spans="2:28" ht="18" x14ac:dyDescent="0.25">
      <c r="L37" s="1" t="s">
        <v>70</v>
      </c>
      <c r="M37" s="214">
        <f>C8</f>
        <v>10</v>
      </c>
      <c r="N37" t="s">
        <v>87</v>
      </c>
      <c r="O37" s="1">
        <v>72</v>
      </c>
      <c r="P37" t="s">
        <v>88</v>
      </c>
      <c r="V37" s="17" t="s">
        <v>11</v>
      </c>
      <c r="W37" s="24">
        <v>1.1000000000000001</v>
      </c>
      <c r="X37" s="24">
        <v>1.25</v>
      </c>
      <c r="Y37" s="24">
        <v>1</v>
      </c>
      <c r="Z37" s="24">
        <v>1.25</v>
      </c>
    </row>
    <row r="38" spans="2:28" ht="18" x14ac:dyDescent="0.25">
      <c r="L38" s="1" t="s">
        <v>71</v>
      </c>
      <c r="M38">
        <f>'ENV|In'!AA53</f>
        <v>0.02</v>
      </c>
      <c r="O38" s="1">
        <v>72</v>
      </c>
      <c r="P38" t="s">
        <v>89</v>
      </c>
      <c r="V38" s="14" t="s">
        <v>33</v>
      </c>
      <c r="W38" s="15">
        <v>1.2</v>
      </c>
      <c r="X38" s="15">
        <v>1.25</v>
      </c>
      <c r="Y38" s="15">
        <v>1</v>
      </c>
      <c r="Z38" s="15">
        <v>1.5</v>
      </c>
    </row>
    <row r="39" spans="2:28" x14ac:dyDescent="0.25">
      <c r="L39" s="1" t="s">
        <v>69</v>
      </c>
      <c r="M39">
        <f>'ENV|In'!AB53</f>
        <v>0.75</v>
      </c>
      <c r="O39" s="1">
        <v>72</v>
      </c>
      <c r="P39" t="s">
        <v>89</v>
      </c>
      <c r="V39" s="21" t="str">
        <f>'ENV|In'!M22</f>
        <v>II</v>
      </c>
      <c r="W39" s="226">
        <f>VLOOKUP($V$39,$V$35:$Z$38,2,FALSE)</f>
        <v>1</v>
      </c>
      <c r="X39" s="226">
        <f>VLOOKUP($V$39,$V$35:$Z$38,3,FALSE)</f>
        <v>1</v>
      </c>
      <c r="Y39" s="226">
        <f>VLOOKUP($V$39,$V$35:$Z$38,4,FALSE)</f>
        <v>1</v>
      </c>
      <c r="Z39" s="226">
        <f>VLOOKUP($V$39,$V$35:$Z$38,5,FALSE)</f>
        <v>1</v>
      </c>
    </row>
    <row r="40" spans="2:28" ht="18" x14ac:dyDescent="0.25">
      <c r="L40" s="1" t="s">
        <v>72</v>
      </c>
      <c r="M40" s="19">
        <f>M38*M37^M39</f>
        <v>0.11246826503806984</v>
      </c>
      <c r="N40" t="s">
        <v>90</v>
      </c>
      <c r="O40" s="1">
        <v>72</v>
      </c>
      <c r="P40" t="s">
        <v>89</v>
      </c>
    </row>
    <row r="41" spans="2:28" x14ac:dyDescent="0.25">
      <c r="L41" s="1" t="s">
        <v>115</v>
      </c>
      <c r="M41" s="212">
        <f>C28</f>
        <v>0.11246826503806984</v>
      </c>
      <c r="N41" t="s">
        <v>90</v>
      </c>
      <c r="O41" s="1">
        <v>72</v>
      </c>
      <c r="P41" t="s">
        <v>116</v>
      </c>
    </row>
    <row r="42" spans="2:28" ht="18" x14ac:dyDescent="0.25">
      <c r="L42" s="1" t="s">
        <v>91</v>
      </c>
      <c r="M42" s="19">
        <f>0.2*M43</f>
        <v>0.20377358490566039</v>
      </c>
      <c r="N42" t="s">
        <v>90</v>
      </c>
      <c r="O42" s="1">
        <v>56</v>
      </c>
      <c r="P42" t="s">
        <v>93</v>
      </c>
    </row>
    <row r="43" spans="2:28" ht="18" x14ac:dyDescent="0.25">
      <c r="L43" s="1" t="s">
        <v>92</v>
      </c>
      <c r="M43" s="19">
        <f>M32/M31</f>
        <v>1.0188679245283019</v>
      </c>
      <c r="N43" t="s">
        <v>90</v>
      </c>
      <c r="O43" s="1">
        <v>56</v>
      </c>
      <c r="P43" t="s">
        <v>93</v>
      </c>
    </row>
    <row r="44" spans="2:28" ht="18" x14ac:dyDescent="0.25">
      <c r="L44" s="1" t="s">
        <v>28</v>
      </c>
      <c r="M44" s="218">
        <f>C29</f>
        <v>12</v>
      </c>
      <c r="N44" t="s">
        <v>29</v>
      </c>
      <c r="O44" s="1" t="s">
        <v>57</v>
      </c>
      <c r="P44" s="1" t="s">
        <v>58</v>
      </c>
      <c r="V44" s="8" t="s">
        <v>372</v>
      </c>
    </row>
    <row r="45" spans="2:28" x14ac:dyDescent="0.25">
      <c r="B45" s="45" t="s">
        <v>489</v>
      </c>
      <c r="L45" s="1" t="s">
        <v>107</v>
      </c>
      <c r="M45" s="219" t="str">
        <f>AE72</f>
        <v>A</v>
      </c>
      <c r="O45" s="1">
        <v>56</v>
      </c>
      <c r="P45" t="s">
        <v>110</v>
      </c>
    </row>
    <row r="46" spans="2:28" ht="18" x14ac:dyDescent="0.25">
      <c r="B46" s="47" t="s">
        <v>484</v>
      </c>
      <c r="C46" s="305">
        <f>I4</f>
        <v>23044</v>
      </c>
      <c r="D46" s="47"/>
      <c r="E46" s="47"/>
      <c r="F46" s="47"/>
      <c r="G46" s="47"/>
      <c r="M46" t="str">
        <f>IF(M45="A",W88," ")</f>
        <v xml:space="preserve">Since SDC A, comply only with § 1.4 (p.3). </v>
      </c>
      <c r="V46" s="41" t="s">
        <v>86</v>
      </c>
      <c r="W46" s="41"/>
      <c r="X46" s="41"/>
      <c r="Y46" s="41"/>
      <c r="Z46" s="41"/>
      <c r="AA46" s="41"/>
      <c r="AB46" s="41"/>
    </row>
    <row r="47" spans="2:28" ht="18" x14ac:dyDescent="0.25">
      <c r="B47" s="34" t="s">
        <v>483</v>
      </c>
      <c r="C47" s="308">
        <f>I3</f>
        <v>45043</v>
      </c>
      <c r="D47" s="308"/>
      <c r="E47" s="34"/>
      <c r="F47" s="34"/>
      <c r="G47" s="34"/>
      <c r="L47" s="215" t="s">
        <v>111</v>
      </c>
      <c r="M47" s="222">
        <f>C30</f>
        <v>1</v>
      </c>
      <c r="O47" s="1">
        <v>67</v>
      </c>
      <c r="P47" t="s">
        <v>112</v>
      </c>
      <c r="V47" s="228" t="s">
        <v>84</v>
      </c>
      <c r="W47" s="9" t="s">
        <v>85</v>
      </c>
      <c r="X47" s="10"/>
      <c r="Y47" s="10"/>
      <c r="Z47" s="11"/>
      <c r="AA47" s="25" t="s">
        <v>71</v>
      </c>
      <c r="AB47" s="25" t="s">
        <v>69</v>
      </c>
    </row>
    <row r="48" spans="2:28" ht="18" x14ac:dyDescent="0.25">
      <c r="L48" s="1" t="s">
        <v>117</v>
      </c>
      <c r="M48" s="223">
        <f>AB96</f>
        <v>4.5226666666666665E-2</v>
      </c>
      <c r="O48" s="1">
        <v>71</v>
      </c>
      <c r="P48" t="s">
        <v>118</v>
      </c>
      <c r="V48" s="229" t="s">
        <v>75</v>
      </c>
      <c r="W48" s="230" t="s">
        <v>82</v>
      </c>
      <c r="X48" s="27"/>
      <c r="Y48" s="27"/>
      <c r="Z48" s="231"/>
      <c r="AA48" s="28">
        <v>2.8000000000000001E-2</v>
      </c>
      <c r="AB48" s="23">
        <v>0.8</v>
      </c>
    </row>
    <row r="49" spans="2:31" x14ac:dyDescent="0.25">
      <c r="B49" s="45" t="s">
        <v>485</v>
      </c>
      <c r="L49" s="1" t="s">
        <v>119</v>
      </c>
      <c r="M49" s="211" t="str">
        <f>C31</f>
        <v>ELFP</v>
      </c>
      <c r="O49" s="1">
        <v>71</v>
      </c>
      <c r="P49" t="s">
        <v>121</v>
      </c>
      <c r="V49" s="232" t="s">
        <v>76</v>
      </c>
      <c r="W49" s="29" t="s">
        <v>83</v>
      </c>
      <c r="X49" s="30"/>
      <c r="Y49" s="30"/>
      <c r="Z49" s="31"/>
      <c r="AA49" s="32">
        <v>1.6E-2</v>
      </c>
      <c r="AB49" s="24">
        <v>0.9</v>
      </c>
    </row>
    <row r="50" spans="2:31" x14ac:dyDescent="0.25">
      <c r="B50" s="30" t="s">
        <v>43</v>
      </c>
      <c r="C50" s="40" t="s">
        <v>44</v>
      </c>
      <c r="D50" s="30" t="s">
        <v>45</v>
      </c>
      <c r="E50" s="39" t="s">
        <v>46</v>
      </c>
      <c r="F50" s="30" t="s">
        <v>59</v>
      </c>
      <c r="G50" s="30"/>
      <c r="M50" t="str">
        <f>W118</f>
        <v>Equivalent Lateral Force Procedure, § 12.8</v>
      </c>
      <c r="V50" s="232" t="s">
        <v>77</v>
      </c>
      <c r="W50" s="29" t="s">
        <v>79</v>
      </c>
      <c r="X50" s="30"/>
      <c r="Y50" s="30"/>
      <c r="Z50" s="31"/>
      <c r="AA50" s="32">
        <v>0.03</v>
      </c>
      <c r="AB50" s="24">
        <v>0.75</v>
      </c>
    </row>
    <row r="51" spans="2:31" x14ac:dyDescent="0.25">
      <c r="B51" s="1" t="s">
        <v>140</v>
      </c>
      <c r="C51" s="4">
        <v>115</v>
      </c>
      <c r="D51" t="s">
        <v>146</v>
      </c>
      <c r="E51" s="1" t="s">
        <v>147</v>
      </c>
      <c r="L51" s="1" t="s">
        <v>122</v>
      </c>
      <c r="M51" s="219" t="str">
        <f>AA113</f>
        <v>P</v>
      </c>
      <c r="O51" s="1">
        <v>71</v>
      </c>
      <c r="P51" t="s">
        <v>121</v>
      </c>
      <c r="V51" s="232" t="s">
        <v>78</v>
      </c>
      <c r="W51" s="29" t="s">
        <v>80</v>
      </c>
      <c r="X51" s="30"/>
      <c r="Y51" s="30"/>
      <c r="Z51" s="31"/>
      <c r="AA51" s="32">
        <v>0.03</v>
      </c>
      <c r="AB51" s="24">
        <v>0.75</v>
      </c>
    </row>
    <row r="52" spans="2:31" ht="18" x14ac:dyDescent="0.25">
      <c r="B52" s="1" t="s">
        <v>141</v>
      </c>
      <c r="C52" s="4">
        <v>0.85</v>
      </c>
      <c r="E52" s="1">
        <v>194</v>
      </c>
      <c r="F52" t="s">
        <v>165</v>
      </c>
      <c r="M52" t="str">
        <f>W122</f>
        <v>Procedure is permitted</v>
      </c>
      <c r="V52" s="233" t="s">
        <v>73</v>
      </c>
      <c r="W52" s="33" t="s">
        <v>81</v>
      </c>
      <c r="X52" s="34"/>
      <c r="Y52" s="34"/>
      <c r="Z52" s="35"/>
      <c r="AA52" s="36">
        <v>0.02</v>
      </c>
      <c r="AB52" s="15">
        <v>0.75</v>
      </c>
    </row>
    <row r="53" spans="2:31" ht="18" x14ac:dyDescent="0.25">
      <c r="B53" s="1" t="s">
        <v>142</v>
      </c>
      <c r="C53" s="7">
        <v>1</v>
      </c>
      <c r="E53" s="1" t="s">
        <v>148</v>
      </c>
      <c r="F53" t="s">
        <v>150</v>
      </c>
      <c r="L53" s="1" t="s">
        <v>418</v>
      </c>
      <c r="M53" s="211" t="str">
        <f>C32</f>
        <v>N/A</v>
      </c>
      <c r="O53" s="1">
        <v>66</v>
      </c>
      <c r="P53" t="s">
        <v>419</v>
      </c>
      <c r="V53" s="234" t="str">
        <f>'ENV|In'!M36</f>
        <v>Other</v>
      </c>
      <c r="W53" s="234" t="str">
        <f>VLOOKUP(V53,V48:AB52,2,FALSE)</f>
        <v>All other structural systems</v>
      </c>
      <c r="X53" s="37"/>
      <c r="Y53" s="37"/>
      <c r="Z53" s="37"/>
      <c r="AA53" s="26">
        <f>VLOOKUP(V53,V48:AB52,6,FALSE)</f>
        <v>0.02</v>
      </c>
      <c r="AB53" s="26">
        <f>VLOOKUP(V53,V48:AB52,7,FALSE)</f>
        <v>0.75</v>
      </c>
    </row>
    <row r="54" spans="2:31" ht="18" x14ac:dyDescent="0.25">
      <c r="B54" s="1" t="s">
        <v>143</v>
      </c>
      <c r="C54" s="7">
        <v>1</v>
      </c>
      <c r="E54" s="1" t="s">
        <v>148</v>
      </c>
      <c r="F54" t="s">
        <v>150</v>
      </c>
      <c r="L54" s="1" t="s">
        <v>417</v>
      </c>
      <c r="M54" s="211" t="str">
        <f>C33</f>
        <v>N/A</v>
      </c>
      <c r="O54" s="1">
        <v>66</v>
      </c>
      <c r="P54" t="s">
        <v>420</v>
      </c>
    </row>
    <row r="55" spans="2:31" ht="18" x14ac:dyDescent="0.25">
      <c r="B55" s="1" t="s">
        <v>144</v>
      </c>
      <c r="C55" s="7">
        <v>1</v>
      </c>
      <c r="E55" s="1" t="s">
        <v>148</v>
      </c>
      <c r="F55" t="s">
        <v>150</v>
      </c>
      <c r="L55" s="1" t="s">
        <v>416</v>
      </c>
      <c r="M55" s="219" t="str">
        <f>IF(OR(M45="D",M45="E",M45="F"),"YES",IF(AND(M53=5,M45="C"),"YES","NO"))</f>
        <v>NO</v>
      </c>
      <c r="O55" s="1">
        <v>70</v>
      </c>
      <c r="P55" t="s">
        <v>415</v>
      </c>
      <c r="V55" s="41" t="s">
        <v>96</v>
      </c>
      <c r="W55" s="41"/>
      <c r="X55" s="41"/>
      <c r="Y55" s="41"/>
      <c r="Z55" s="41"/>
      <c r="AA55" s="41"/>
    </row>
    <row r="56" spans="2:31" ht="18" x14ac:dyDescent="0.25">
      <c r="B56" s="1" t="s">
        <v>145</v>
      </c>
      <c r="C56" s="7">
        <v>1</v>
      </c>
      <c r="E56" s="1" t="s">
        <v>149</v>
      </c>
      <c r="F56" t="s">
        <v>151</v>
      </c>
      <c r="V56" s="9" t="s">
        <v>4</v>
      </c>
      <c r="W56" s="11"/>
      <c r="X56" s="25" t="s">
        <v>30</v>
      </c>
      <c r="Y56" s="25" t="s">
        <v>32</v>
      </c>
      <c r="Z56" s="25" t="s">
        <v>11</v>
      </c>
      <c r="AA56" s="25" t="s">
        <v>33</v>
      </c>
      <c r="AB56" s="208">
        <f>M31</f>
        <v>5.6533333333333331E-2</v>
      </c>
      <c r="AC56" s="21" t="str">
        <f>M22</f>
        <v>II</v>
      </c>
      <c r="AD56" s="21" t="s">
        <v>101</v>
      </c>
    </row>
    <row r="57" spans="2:31" ht="18" x14ac:dyDescent="0.25">
      <c r="B57" s="1" t="s">
        <v>167</v>
      </c>
      <c r="C57" s="3" t="s">
        <v>15</v>
      </c>
      <c r="E57" s="1" t="s">
        <v>169</v>
      </c>
      <c r="F57" t="s">
        <v>170</v>
      </c>
      <c r="V57" s="230" t="s">
        <v>97</v>
      </c>
      <c r="W57" s="231"/>
      <c r="X57" s="16" t="s">
        <v>13</v>
      </c>
      <c r="Y57" s="16" t="s">
        <v>13</v>
      </c>
      <c r="Z57" s="16" t="s">
        <v>13</v>
      </c>
      <c r="AA57" s="16" t="s">
        <v>13</v>
      </c>
      <c r="AB57" s="236" t="str">
        <f>IF(AB56&lt;0.167,"TRUE","FALSE")</f>
        <v>TRUE</v>
      </c>
      <c r="AC57" s="237" t="str">
        <f>HLOOKUP($AC$56,$X$56:$AA$60,2,FALSE)</f>
        <v>A</v>
      </c>
      <c r="AD57" s="237">
        <f>IF(AB57="TRUE",IF(AC57="A",1,IF(AC57="B",2,(IF(AC57="C",3,(IF(AC57="D",4,0)))))),0)</f>
        <v>1</v>
      </c>
    </row>
    <row r="58" spans="2:31" ht="18" x14ac:dyDescent="0.25">
      <c r="B58" s="1" t="s">
        <v>496</v>
      </c>
      <c r="C58" s="196" t="s">
        <v>613</v>
      </c>
      <c r="E58" s="1">
        <v>187</v>
      </c>
      <c r="F58" t="s">
        <v>497</v>
      </c>
      <c r="V58" s="29" t="s">
        <v>98</v>
      </c>
      <c r="W58" s="31"/>
      <c r="X58" s="17" t="s">
        <v>14</v>
      </c>
      <c r="Y58" s="17" t="s">
        <v>14</v>
      </c>
      <c r="Z58" s="17" t="s">
        <v>14</v>
      </c>
      <c r="AA58" s="17" t="s">
        <v>15</v>
      </c>
      <c r="AB58" s="238" t="str">
        <f>IF(AND(AB56&gt;=0.167,AB56&lt;0.33),"TRUE","FALSE")</f>
        <v>FALSE</v>
      </c>
      <c r="AC58" s="21" t="str">
        <f>HLOOKUP($AC$56,$X$56:$AA$60,3,FALSE)</f>
        <v>B</v>
      </c>
      <c r="AD58" s="21">
        <f t="shared" ref="AD58:AD60" si="1">IF(AB58="TRUE",IF(AC58="A",1,IF(AC58="B",2,(IF(AC58="C",3,(IF(AC58="D",4,0)))))),0)</f>
        <v>0</v>
      </c>
    </row>
    <row r="59" spans="2:31" ht="18" x14ac:dyDescent="0.25">
      <c r="B59" s="1" t="s">
        <v>168</v>
      </c>
      <c r="C59" s="6">
        <v>0.85</v>
      </c>
      <c r="E59" s="1">
        <v>198</v>
      </c>
      <c r="F59" s="141" t="s">
        <v>171</v>
      </c>
      <c r="L59" s="8" t="s">
        <v>152</v>
      </c>
      <c r="V59" s="29" t="s">
        <v>99</v>
      </c>
      <c r="W59" s="31"/>
      <c r="X59" s="17" t="s">
        <v>15</v>
      </c>
      <c r="Y59" s="17" t="s">
        <v>15</v>
      </c>
      <c r="Z59" s="17" t="s">
        <v>15</v>
      </c>
      <c r="AA59" s="17" t="s">
        <v>10</v>
      </c>
      <c r="AB59" s="238" t="str">
        <f>IF(AND(AB56&gt;=0.33,AB56&lt;0.5),"TRUE","FALSE")</f>
        <v>FALSE</v>
      </c>
      <c r="AC59" s="21" t="str">
        <f>HLOOKUP($AC$56,$X$56:$AA$60,4,FALSE)</f>
        <v>C</v>
      </c>
      <c r="AD59" s="21">
        <f t="shared" si="1"/>
        <v>0</v>
      </c>
    </row>
    <row r="60" spans="2:31" ht="18" x14ac:dyDescent="0.25">
      <c r="B60" s="1" t="s">
        <v>450</v>
      </c>
      <c r="C60" s="3" t="s">
        <v>624</v>
      </c>
      <c r="E60" s="1"/>
      <c r="F60" s="227"/>
      <c r="L60" s="27" t="str">
        <f t="shared" ref="L60:M62" si="2">L3</f>
        <v>Date:</v>
      </c>
      <c r="M60" s="209">
        <f>N3</f>
        <v>45043</v>
      </c>
      <c r="N60" s="27"/>
      <c r="O60" s="27"/>
      <c r="P60" s="27"/>
      <c r="Q60" s="27"/>
      <c r="V60" s="33" t="s">
        <v>100</v>
      </c>
      <c r="W60" s="35"/>
      <c r="X60" s="14" t="s">
        <v>10</v>
      </c>
      <c r="Y60" s="14" t="s">
        <v>10</v>
      </c>
      <c r="Z60" s="14" t="s">
        <v>10</v>
      </c>
      <c r="AA60" s="14" t="s">
        <v>10</v>
      </c>
      <c r="AB60" s="239" t="str">
        <f>IF(AB56&gt;=0.5,"TRUE","FALSE")</f>
        <v>FALSE</v>
      </c>
      <c r="AC60" s="240" t="str">
        <f>HLOOKUP($AC$56,$X$56:$AA$60,5,FALSE)</f>
        <v>D</v>
      </c>
      <c r="AD60" s="240">
        <f t="shared" si="1"/>
        <v>0</v>
      </c>
    </row>
    <row r="61" spans="2:31" ht="18" x14ac:dyDescent="0.25">
      <c r="E61" s="1"/>
      <c r="F61" s="141"/>
      <c r="L61" s="30" t="str">
        <f t="shared" si="2"/>
        <v>ERZPE Job Number:</v>
      </c>
      <c r="M61" s="30">
        <f>N4</f>
        <v>23044</v>
      </c>
      <c r="N61" s="30"/>
      <c r="O61" s="30"/>
      <c r="P61" s="30"/>
      <c r="Q61" s="30"/>
      <c r="Z61" s="241" t="s">
        <v>109</v>
      </c>
      <c r="AA61" s="208">
        <f>M26</f>
        <v>3.5999999999999997E-2</v>
      </c>
      <c r="AD61" s="242">
        <f>IF(AND(AA61&gt;=0.75,AA62="IV"),6,IF(AA61&gt;=0.75,5,SUM(AD57:AD60)))</f>
        <v>1</v>
      </c>
      <c r="AE61" s="21" t="str">
        <f>IF(AD61=1,"A",IF(AD61=2,"B",IF(AD61=3,"C",IF(AD61=4,"D",(IF(AD61=5,"E","F"))))))</f>
        <v>A</v>
      </c>
    </row>
    <row r="62" spans="2:31" x14ac:dyDescent="0.25">
      <c r="B62" s="45" t="s">
        <v>482</v>
      </c>
      <c r="G62" s="27"/>
      <c r="L62" s="30">
        <f t="shared" si="2"/>
        <v>0</v>
      </c>
      <c r="M62" s="30">
        <f t="shared" si="2"/>
        <v>0</v>
      </c>
      <c r="N62" s="30"/>
      <c r="O62" s="30"/>
      <c r="P62" s="30"/>
      <c r="Q62" s="30"/>
      <c r="Z62" s="21" t="s">
        <v>163</v>
      </c>
      <c r="AA62" s="208" t="str">
        <f>AC56</f>
        <v>II</v>
      </c>
      <c r="AD62" s="21"/>
      <c r="AE62" s="21"/>
    </row>
    <row r="63" spans="2:31" x14ac:dyDescent="0.25">
      <c r="B63" s="30" t="s">
        <v>43</v>
      </c>
      <c r="C63" s="40" t="s">
        <v>44</v>
      </c>
      <c r="D63" s="30" t="s">
        <v>45</v>
      </c>
      <c r="E63" s="39" t="s">
        <v>46</v>
      </c>
      <c r="F63" s="30" t="s">
        <v>59</v>
      </c>
      <c r="G63" s="30"/>
    </row>
    <row r="64" spans="2:31" ht="18" x14ac:dyDescent="0.25">
      <c r="B64" s="1" t="s">
        <v>220</v>
      </c>
      <c r="C64" s="3" t="s">
        <v>223</v>
      </c>
      <c r="E64" s="1">
        <v>23</v>
      </c>
      <c r="F64" t="s">
        <v>215</v>
      </c>
      <c r="L64" s="45" t="s">
        <v>139</v>
      </c>
      <c r="V64" s="41" t="s">
        <v>102</v>
      </c>
      <c r="W64" s="41"/>
      <c r="X64" s="41"/>
      <c r="Y64" s="41"/>
      <c r="Z64" s="41"/>
      <c r="AA64" s="41"/>
    </row>
    <row r="65" spans="2:31" ht="18" x14ac:dyDescent="0.25">
      <c r="B65" s="1" t="s">
        <v>200</v>
      </c>
      <c r="C65" s="7">
        <v>40</v>
      </c>
      <c r="D65" t="s">
        <v>204</v>
      </c>
      <c r="E65" s="1">
        <v>23</v>
      </c>
      <c r="F65" t="s">
        <v>195</v>
      </c>
      <c r="L65" s="30" t="s">
        <v>43</v>
      </c>
      <c r="M65" s="40" t="s">
        <v>44</v>
      </c>
      <c r="N65" s="30" t="s">
        <v>45</v>
      </c>
      <c r="O65" s="39" t="s">
        <v>46</v>
      </c>
      <c r="P65" s="30" t="s">
        <v>59</v>
      </c>
      <c r="Q65" s="30"/>
      <c r="V65" s="9" t="s">
        <v>5</v>
      </c>
      <c r="W65" s="11"/>
      <c r="X65" s="25" t="s">
        <v>30</v>
      </c>
      <c r="Y65" s="25" t="s">
        <v>32</v>
      </c>
      <c r="Z65" s="25" t="s">
        <v>11</v>
      </c>
      <c r="AA65" s="25" t="s">
        <v>33</v>
      </c>
      <c r="AB65" s="208">
        <f>M32</f>
        <v>5.7599999999999991E-2</v>
      </c>
      <c r="AC65" s="208" t="str">
        <f>M22</f>
        <v>II</v>
      </c>
      <c r="AD65" s="21" t="s">
        <v>101</v>
      </c>
    </row>
    <row r="66" spans="2:31" ht="18" x14ac:dyDescent="0.25">
      <c r="C66" s="4" t="s">
        <v>205</v>
      </c>
      <c r="E66" s="1">
        <v>24</v>
      </c>
      <c r="F66" t="s">
        <v>196</v>
      </c>
      <c r="L66" s="1" t="s">
        <v>140</v>
      </c>
      <c r="M66" s="218">
        <f>C51</f>
        <v>115</v>
      </c>
      <c r="N66" t="s">
        <v>146</v>
      </c>
      <c r="O66" s="1" t="s">
        <v>147</v>
      </c>
      <c r="V66" s="230" t="s">
        <v>103</v>
      </c>
      <c r="W66" s="231"/>
      <c r="X66" s="16" t="s">
        <v>13</v>
      </c>
      <c r="Y66" s="16" t="s">
        <v>13</v>
      </c>
      <c r="Z66" s="16" t="s">
        <v>13</v>
      </c>
      <c r="AA66" s="16" t="s">
        <v>13</v>
      </c>
      <c r="AB66" s="236" t="str">
        <f>IF(AB65&lt;0.067,"TRUE","FALSE")</f>
        <v>TRUE</v>
      </c>
      <c r="AC66" s="237" t="str">
        <f>HLOOKUP($AC$56,$X$56:$AA$60,2,FALSE)</f>
        <v>A</v>
      </c>
      <c r="AD66" s="237">
        <f>IF(AB66="TRUE",IF(AC66="A",1,IF(AC66="B",2,(IF(AC66="C",3,(IF(AC66="D",4,0)))))),0)</f>
        <v>1</v>
      </c>
    </row>
    <row r="67" spans="2:31" ht="18" x14ac:dyDescent="0.25">
      <c r="B67" s="1" t="s">
        <v>71</v>
      </c>
      <c r="C67" s="4">
        <v>1.2</v>
      </c>
      <c r="E67" s="1">
        <v>24</v>
      </c>
      <c r="F67" t="s">
        <v>197</v>
      </c>
      <c r="L67" s="1" t="s">
        <v>38</v>
      </c>
      <c r="M67" s="12">
        <f>Y39</f>
        <v>1</v>
      </c>
      <c r="O67" s="1">
        <v>4</v>
      </c>
      <c r="P67" t="s">
        <v>48</v>
      </c>
      <c r="V67" s="29" t="s">
        <v>104</v>
      </c>
      <c r="W67" s="31"/>
      <c r="X67" s="17" t="s">
        <v>14</v>
      </c>
      <c r="Y67" s="17" t="s">
        <v>14</v>
      </c>
      <c r="Z67" s="17" t="s">
        <v>14</v>
      </c>
      <c r="AA67" s="17" t="s">
        <v>15</v>
      </c>
      <c r="AB67" s="238" t="str">
        <f>IF(AND(AB65&gt;=0.067,AB65&lt;0.133),"TRUE","FALSE")</f>
        <v>FALSE</v>
      </c>
      <c r="AC67" s="21" t="str">
        <f>HLOOKUP($AC$56,$X$56:$AA$60,3,FALSE)</f>
        <v>B</v>
      </c>
      <c r="AD67" s="21">
        <f t="shared" ref="AD67:AD69" si="3">IF(AB67="TRUE",IF(AC67="A",1,IF(AC67="B",2,(IF(AC67="C",3,(IF(AC67="D",4,0)))))),0)</f>
        <v>0</v>
      </c>
    </row>
    <row r="68" spans="2:31" ht="18" x14ac:dyDescent="0.25">
      <c r="B68" s="1" t="s">
        <v>117</v>
      </c>
      <c r="C68" s="7">
        <v>1</v>
      </c>
      <c r="E68" s="1" t="s">
        <v>222</v>
      </c>
      <c r="F68" t="s">
        <v>221</v>
      </c>
      <c r="L68" s="1" t="s">
        <v>141</v>
      </c>
      <c r="M68" s="218">
        <f>C52</f>
        <v>0.85</v>
      </c>
      <c r="O68" s="1">
        <v>194</v>
      </c>
      <c r="P68" t="s">
        <v>165</v>
      </c>
      <c r="V68" s="29" t="s">
        <v>105</v>
      </c>
      <c r="W68" s="31"/>
      <c r="X68" s="17" t="s">
        <v>15</v>
      </c>
      <c r="Y68" s="17" t="s">
        <v>15</v>
      </c>
      <c r="Z68" s="17" t="s">
        <v>15</v>
      </c>
      <c r="AA68" s="17" t="s">
        <v>10</v>
      </c>
      <c r="AB68" s="238" t="str">
        <f>IF(AND(AB65&gt;=0.133,AB65&lt;0.2),"TRUE","FALSE")</f>
        <v>FALSE</v>
      </c>
      <c r="AC68" s="21" t="str">
        <f>HLOOKUP($AC$56,$X$56:$AA$60,4,FALSE)</f>
        <v>C</v>
      </c>
      <c r="AD68" s="21">
        <f t="shared" si="3"/>
        <v>0</v>
      </c>
    </row>
    <row r="69" spans="2:31" ht="18" x14ac:dyDescent="0.25">
      <c r="B69" s="1" t="s">
        <v>409</v>
      </c>
      <c r="C69" s="7">
        <v>45</v>
      </c>
      <c r="D69" t="s">
        <v>383</v>
      </c>
      <c r="L69" s="1" t="s">
        <v>142</v>
      </c>
      <c r="M69" s="222">
        <f>C53</f>
        <v>1</v>
      </c>
      <c r="O69" s="1" t="s">
        <v>148</v>
      </c>
      <c r="P69" t="s">
        <v>150</v>
      </c>
      <c r="V69" s="33" t="s">
        <v>106</v>
      </c>
      <c r="W69" s="35"/>
      <c r="X69" s="14" t="s">
        <v>10</v>
      </c>
      <c r="Y69" s="14" t="s">
        <v>10</v>
      </c>
      <c r="Z69" s="14" t="s">
        <v>10</v>
      </c>
      <c r="AA69" s="14" t="s">
        <v>10</v>
      </c>
      <c r="AB69" s="239" t="str">
        <f>IF(AB65&gt;=0.2,"TRUE","FALSE")</f>
        <v>FALSE</v>
      </c>
      <c r="AC69" s="240" t="str">
        <f>HLOOKUP($AC$56,$X$56:$AA$60,5,FALSE)</f>
        <v>D</v>
      </c>
      <c r="AD69" s="240">
        <f t="shared" si="3"/>
        <v>0</v>
      </c>
    </row>
    <row r="70" spans="2:31" ht="18" x14ac:dyDescent="0.25">
      <c r="L70" s="1" t="s">
        <v>143</v>
      </c>
      <c r="M70" s="222">
        <f>C54</f>
        <v>1</v>
      </c>
      <c r="O70" s="1" t="s">
        <v>148</v>
      </c>
      <c r="P70" t="s">
        <v>150</v>
      </c>
      <c r="Z70" s="241" t="s">
        <v>109</v>
      </c>
      <c r="AA70" s="208">
        <f>M26</f>
        <v>3.5999999999999997E-2</v>
      </c>
      <c r="AD70" s="242">
        <f>IF(AND(AA70&gt;=0.75,AA71="IV"),6,IF(AA70&gt;=0.75,5,SUM(AD66:AD69)))</f>
        <v>1</v>
      </c>
      <c r="AE70" s="21" t="str">
        <f>IF(AD70=1,"A",IF(AD70=2,"B",IF(AD70=3,"C",IF(AD70=4,"D",(IF(AD70=5,"E","F"))))))</f>
        <v>A</v>
      </c>
    </row>
    <row r="71" spans="2:31" ht="18" x14ac:dyDescent="0.25">
      <c r="L71" s="1" t="s">
        <v>144</v>
      </c>
      <c r="M71" s="222">
        <f>C55</f>
        <v>1</v>
      </c>
      <c r="O71" s="1" t="s">
        <v>148</v>
      </c>
      <c r="P71" t="s">
        <v>150</v>
      </c>
      <c r="Z71" s="21" t="s">
        <v>163</v>
      </c>
      <c r="AA71" s="208" t="str">
        <f>AC65</f>
        <v>II</v>
      </c>
    </row>
    <row r="72" spans="2:31" ht="18" x14ac:dyDescent="0.25">
      <c r="L72" s="1" t="s">
        <v>145</v>
      </c>
      <c r="M72" s="235">
        <f>(1+M89*M92*M93)^2</f>
        <v>4.3264000000000005</v>
      </c>
      <c r="O72" s="1">
        <v>198</v>
      </c>
      <c r="P72" t="s">
        <v>166</v>
      </c>
      <c r="AC72" s="243" t="s">
        <v>108</v>
      </c>
      <c r="AD72" s="244">
        <f>MAX(AD61,AD70)</f>
        <v>1</v>
      </c>
      <c r="AE72" s="244" t="str">
        <f>IF(AD72=1,"A",IF(AD72=2,"B",IF(AD72=3,"C",IF(AD72=4,"D",(IF(AD72=5,"E","F"))))))</f>
        <v>A</v>
      </c>
    </row>
    <row r="73" spans="2:31" ht="18" x14ac:dyDescent="0.25">
      <c r="L73" s="1" t="s">
        <v>145</v>
      </c>
      <c r="M73" s="222">
        <f>C56</f>
        <v>1</v>
      </c>
      <c r="O73" s="1" t="s">
        <v>149</v>
      </c>
      <c r="P73" t="s">
        <v>151</v>
      </c>
    </row>
    <row r="74" spans="2:31" x14ac:dyDescent="0.25">
      <c r="L74" s="1" t="s">
        <v>167</v>
      </c>
      <c r="M74" s="211" t="str">
        <f>C57</f>
        <v>C</v>
      </c>
      <c r="O74" s="1" t="s">
        <v>169</v>
      </c>
      <c r="P74" t="s">
        <v>170</v>
      </c>
    </row>
    <row r="75" spans="2:31" x14ac:dyDescent="0.25">
      <c r="L75" s="1" t="s">
        <v>496</v>
      </c>
      <c r="M75" s="211" t="str">
        <f>C58</f>
        <v>Open</v>
      </c>
      <c r="O75" s="1">
        <v>187</v>
      </c>
      <c r="P75" t="s">
        <v>497</v>
      </c>
    </row>
    <row r="76" spans="2:31" x14ac:dyDescent="0.25">
      <c r="L76" s="1" t="s">
        <v>168</v>
      </c>
      <c r="M76" s="214">
        <f>C59</f>
        <v>0.85</v>
      </c>
      <c r="O76" s="1">
        <v>198</v>
      </c>
      <c r="P76" s="141" t="s">
        <v>171</v>
      </c>
    </row>
    <row r="77" spans="2:31" x14ac:dyDescent="0.25">
      <c r="L77" s="1" t="s">
        <v>316</v>
      </c>
      <c r="M77" s="12">
        <f>'I|Wind'!E109</f>
        <v>0.30000000000000004</v>
      </c>
      <c r="N77" t="s">
        <v>87</v>
      </c>
      <c r="O77" s="1">
        <v>243</v>
      </c>
      <c r="P77" s="141" t="s">
        <v>317</v>
      </c>
    </row>
    <row r="78" spans="2:31" ht="18" x14ac:dyDescent="0.25">
      <c r="L78" s="1" t="s">
        <v>364</v>
      </c>
      <c r="M78" s="12">
        <f>'I|Wind'!D127</f>
        <v>10</v>
      </c>
      <c r="N78" t="s">
        <v>87</v>
      </c>
      <c r="O78" s="1">
        <v>243</v>
      </c>
      <c r="P78" s="141" t="s">
        <v>317</v>
      </c>
    </row>
    <row r="79" spans="2:31" x14ac:dyDescent="0.25">
      <c r="L79" s="1" t="s">
        <v>450</v>
      </c>
      <c r="M79" s="211" t="str">
        <f>C60</f>
        <v>YES</v>
      </c>
      <c r="O79" s="1"/>
      <c r="P79" s="1"/>
    </row>
    <row r="85" spans="2:28" x14ac:dyDescent="0.25">
      <c r="L85" s="45" t="s">
        <v>164</v>
      </c>
      <c r="Q85" s="27"/>
    </row>
    <row r="86" spans="2:28" x14ac:dyDescent="0.25">
      <c r="L86" s="30" t="s">
        <v>43</v>
      </c>
      <c r="M86" s="40" t="s">
        <v>44</v>
      </c>
      <c r="N86" s="30" t="s">
        <v>45</v>
      </c>
      <c r="O86" s="39" t="s">
        <v>46</v>
      </c>
      <c r="P86" s="30" t="s">
        <v>59</v>
      </c>
      <c r="Q86" s="30"/>
      <c r="V86" s="8" t="s">
        <v>372</v>
      </c>
    </row>
    <row r="87" spans="2:28" x14ac:dyDescent="0.25">
      <c r="B87" s="45" t="s">
        <v>489</v>
      </c>
      <c r="L87" s="1" t="s">
        <v>220</v>
      </c>
      <c r="M87" s="211" t="str">
        <f>C64</f>
        <v>Monoslope</v>
      </c>
      <c r="O87" s="1">
        <v>23</v>
      </c>
      <c r="P87" t="s">
        <v>215</v>
      </c>
    </row>
    <row r="88" spans="2:28" ht="18" x14ac:dyDescent="0.25">
      <c r="B88" s="47" t="s">
        <v>484</v>
      </c>
      <c r="C88" s="305">
        <f>I4</f>
        <v>23044</v>
      </c>
      <c r="D88" s="47"/>
      <c r="E88" s="47"/>
      <c r="F88" s="47"/>
      <c r="G88" s="47"/>
      <c r="L88" s="1" t="s">
        <v>200</v>
      </c>
      <c r="M88" s="222">
        <f>C65</f>
        <v>40</v>
      </c>
      <c r="N88" t="s">
        <v>204</v>
      </c>
      <c r="O88" s="1">
        <v>23</v>
      </c>
      <c r="P88" t="s">
        <v>195</v>
      </c>
      <c r="V88" s="25" t="s">
        <v>133</v>
      </c>
      <c r="W88" s="10" t="s">
        <v>134</v>
      </c>
      <c r="X88" s="10"/>
      <c r="Y88" s="10"/>
      <c r="Z88" s="10"/>
      <c r="AA88" s="11"/>
    </row>
    <row r="89" spans="2:28" ht="18" x14ac:dyDescent="0.25">
      <c r="B89" s="34" t="s">
        <v>483</v>
      </c>
      <c r="C89" s="308">
        <f>I3</f>
        <v>45043</v>
      </c>
      <c r="D89" s="308"/>
      <c r="E89" s="34"/>
      <c r="F89" s="34"/>
      <c r="G89" s="34"/>
      <c r="L89" s="1" t="s">
        <v>201</v>
      </c>
      <c r="M89" s="245">
        <f>AA145</f>
        <v>0.9</v>
      </c>
      <c r="O89" s="1">
        <v>24</v>
      </c>
      <c r="P89" t="s">
        <v>196</v>
      </c>
    </row>
    <row r="90" spans="2:28" ht="18" x14ac:dyDescent="0.25">
      <c r="M90" s="218" t="str">
        <f>C66</f>
        <v>Fully Exposed</v>
      </c>
      <c r="O90" s="1">
        <v>24</v>
      </c>
      <c r="P90" t="s">
        <v>196</v>
      </c>
      <c r="V90" s="41" t="s">
        <v>113</v>
      </c>
      <c r="W90" s="41"/>
      <c r="X90" s="41"/>
      <c r="Y90" s="41"/>
      <c r="Z90" s="41"/>
      <c r="AA90" s="41"/>
    </row>
    <row r="91" spans="2:28" ht="18" x14ac:dyDescent="0.25">
      <c r="B91" s="45" t="s">
        <v>481</v>
      </c>
      <c r="C91" s="1"/>
      <c r="L91" s="1" t="s">
        <v>167</v>
      </c>
      <c r="M91" s="219" t="str">
        <f>M74</f>
        <v>C</v>
      </c>
      <c r="O91" s="1" t="s">
        <v>169</v>
      </c>
      <c r="P91" t="s">
        <v>170</v>
      </c>
      <c r="V91" s="9" t="s">
        <v>114</v>
      </c>
      <c r="W91" s="10"/>
      <c r="X91" s="10"/>
      <c r="Y91" s="25" t="s">
        <v>213</v>
      </c>
      <c r="Z91" s="25" t="s">
        <v>117</v>
      </c>
      <c r="AA91" s="25" t="s">
        <v>236</v>
      </c>
    </row>
    <row r="92" spans="2:28" ht="18" x14ac:dyDescent="0.25">
      <c r="B92" s="45" t="s">
        <v>378</v>
      </c>
      <c r="C92" t="s">
        <v>403</v>
      </c>
      <c r="L92" s="1" t="s">
        <v>71</v>
      </c>
      <c r="M92" s="218">
        <f>C67</f>
        <v>1.2</v>
      </c>
      <c r="O92" s="1">
        <v>24</v>
      </c>
      <c r="P92" t="s">
        <v>197</v>
      </c>
      <c r="V92" s="247" t="s">
        <v>232</v>
      </c>
      <c r="W92" s="209"/>
      <c r="X92" s="209"/>
      <c r="Y92" s="16" t="str">
        <f>IF(AND(M41&gt;=0,M41&lt;M42),"TRUE","FALSE")</f>
        <v>TRUE</v>
      </c>
      <c r="Z92" s="248">
        <f>M31/(M33/M23)</f>
        <v>4.5226666666666665E-2</v>
      </c>
      <c r="AA92" s="248">
        <f>Z92</f>
        <v>4.5226666666666665E-2</v>
      </c>
      <c r="AB92" s="107">
        <f>IF(Y92="TRUE",Z92,0)</f>
        <v>4.5226666666666665E-2</v>
      </c>
    </row>
    <row r="93" spans="2:28" ht="18" x14ac:dyDescent="0.25">
      <c r="B93" s="30" t="s">
        <v>43</v>
      </c>
      <c r="C93" s="40" t="s">
        <v>44</v>
      </c>
      <c r="D93" s="30" t="s">
        <v>45</v>
      </c>
      <c r="E93" s="39" t="s">
        <v>46</v>
      </c>
      <c r="F93" s="30" t="s">
        <v>59</v>
      </c>
      <c r="G93" s="30"/>
      <c r="L93" s="1" t="s">
        <v>36</v>
      </c>
      <c r="M93" s="246">
        <f>W39</f>
        <v>1</v>
      </c>
      <c r="O93" s="1">
        <v>4</v>
      </c>
      <c r="P93" t="s">
        <v>48</v>
      </c>
      <c r="V93" s="249" t="s">
        <v>233</v>
      </c>
      <c r="W93" s="53"/>
      <c r="X93" s="53"/>
      <c r="Y93" s="17" t="str">
        <f>IF(AND(M41&gt;=M42,M41&lt;M43),"TRUE","FALSE")</f>
        <v>FALSE</v>
      </c>
      <c r="Z93" s="250">
        <f>M31/(M33/M23)</f>
        <v>4.5226666666666665E-2</v>
      </c>
      <c r="AA93" s="250">
        <f>Z93</f>
        <v>4.5226666666666665E-2</v>
      </c>
      <c r="AB93" s="107">
        <f t="shared" ref="AB93:AB95" si="4">IF(Y93="TRUE",Z93,0)</f>
        <v>0</v>
      </c>
    </row>
    <row r="94" spans="2:28" ht="18" x14ac:dyDescent="0.25">
      <c r="B94" s="1" t="s">
        <v>379</v>
      </c>
      <c r="C94" s="6">
        <v>3.31</v>
      </c>
      <c r="D94" t="s">
        <v>380</v>
      </c>
      <c r="E94" s="1" t="s">
        <v>423</v>
      </c>
      <c r="F94" s="141" t="s">
        <v>422</v>
      </c>
      <c r="L94" s="1" t="s">
        <v>202</v>
      </c>
      <c r="M94" s="12">
        <f>0.7*M89*M92*M93*M88</f>
        <v>30.240000000000002</v>
      </c>
      <c r="N94" t="s">
        <v>204</v>
      </c>
      <c r="O94" s="1">
        <v>23</v>
      </c>
      <c r="P94" t="s">
        <v>198</v>
      </c>
      <c r="V94" s="249" t="s">
        <v>234</v>
      </c>
      <c r="W94" s="53"/>
      <c r="X94" s="53"/>
      <c r="Y94" s="250" t="str">
        <f>IF(AND(M41&gt;=M43,M41&lt;M44),"TRUE","FALSE")</f>
        <v>FALSE</v>
      </c>
      <c r="Z94" s="250">
        <f>M32/(M41*(M33/M23))</f>
        <v>0.40971557607296766</v>
      </c>
      <c r="AA94" s="250">
        <f>Z94</f>
        <v>0.40971557607296766</v>
      </c>
      <c r="AB94" s="107">
        <f t="shared" si="4"/>
        <v>0</v>
      </c>
    </row>
    <row r="95" spans="2:28" ht="18" x14ac:dyDescent="0.25">
      <c r="B95" s="1" t="s">
        <v>382</v>
      </c>
      <c r="C95" s="6">
        <v>0</v>
      </c>
      <c r="D95" t="s">
        <v>383</v>
      </c>
      <c r="E95" s="1">
        <v>35</v>
      </c>
      <c r="F95" s="141" t="s">
        <v>442</v>
      </c>
      <c r="L95" s="1" t="s">
        <v>203</v>
      </c>
      <c r="M95" s="52">
        <f>IF(Z159="NG","N/A",AC151)</f>
        <v>20</v>
      </c>
      <c r="N95" t="s">
        <v>204</v>
      </c>
      <c r="O95" s="1">
        <v>23</v>
      </c>
      <c r="P95" t="s">
        <v>215</v>
      </c>
      <c r="V95" s="249" t="s">
        <v>235</v>
      </c>
      <c r="W95" s="53"/>
      <c r="X95" s="53"/>
      <c r="Y95" s="250" t="str">
        <f>IF(M41&gt;=M44,"TRUE","FALSE")</f>
        <v>FALSE</v>
      </c>
      <c r="Z95" s="250">
        <f>(M32*M44)/((M41^2)*(M33/M23))</f>
        <v>43.715326374167653</v>
      </c>
      <c r="AA95" s="250">
        <f>IF(Z98="TRUE",AA99,AA97)</f>
        <v>43.715326374167653</v>
      </c>
      <c r="AB95" s="107">
        <f t="shared" si="4"/>
        <v>0</v>
      </c>
    </row>
    <row r="96" spans="2:28" ht="18" x14ac:dyDescent="0.25">
      <c r="B96" s="275" t="s">
        <v>550</v>
      </c>
      <c r="C96" s="39" t="s">
        <v>314</v>
      </c>
      <c r="D96" s="39" t="s">
        <v>315</v>
      </c>
      <c r="E96" s="39" t="s">
        <v>13</v>
      </c>
      <c r="F96" s="39" t="s">
        <v>381</v>
      </c>
      <c r="G96" s="39" t="s">
        <v>382</v>
      </c>
      <c r="H96" s="39" t="s">
        <v>387</v>
      </c>
      <c r="I96" s="39" t="s">
        <v>60</v>
      </c>
      <c r="L96" s="1" t="s">
        <v>117</v>
      </c>
      <c r="M96" s="222">
        <f>C68</f>
        <v>1</v>
      </c>
      <c r="O96" s="1" t="s">
        <v>222</v>
      </c>
      <c r="P96" t="s">
        <v>221</v>
      </c>
      <c r="V96" s="251"/>
      <c r="W96" s="252"/>
      <c r="X96" s="252"/>
      <c r="Y96" s="253"/>
      <c r="Z96" s="253"/>
      <c r="AA96" s="253"/>
      <c r="AB96" s="254">
        <f>SUM(AB92:AB95)</f>
        <v>4.5226666666666665E-2</v>
      </c>
    </row>
    <row r="97" spans="2:27" ht="18" x14ac:dyDescent="0.25">
      <c r="B97" s="44"/>
      <c r="C97" s="39" t="s">
        <v>158</v>
      </c>
      <c r="D97" s="39" t="s">
        <v>158</v>
      </c>
      <c r="E97" s="39" t="s">
        <v>385</v>
      </c>
      <c r="F97" s="39" t="s">
        <v>386</v>
      </c>
      <c r="G97" s="39" t="s">
        <v>388</v>
      </c>
      <c r="H97" s="39" t="s">
        <v>388</v>
      </c>
      <c r="I97" s="39" t="s">
        <v>160</v>
      </c>
      <c r="L97" s="1" t="s">
        <v>214</v>
      </c>
      <c r="M97" s="12">
        <f>M96*M94</f>
        <v>30.240000000000002</v>
      </c>
      <c r="N97" t="s">
        <v>204</v>
      </c>
      <c r="O97" s="1">
        <v>23</v>
      </c>
      <c r="P97" t="s">
        <v>199</v>
      </c>
      <c r="V97" s="249" t="s">
        <v>238</v>
      </c>
      <c r="W97" s="30"/>
      <c r="X97" s="30"/>
      <c r="Y97" s="253"/>
      <c r="Z97" s="250">
        <f>IF(0.44*M31*M23&gt;=0.01,0.44*M31*M23,0.01)</f>
        <v>2.4874666666666666E-2</v>
      </c>
      <c r="AA97" s="250">
        <f>IF(Z95&gt;Z97,Z95,Z97)</f>
        <v>43.715326374167653</v>
      </c>
    </row>
    <row r="98" spans="2:27" ht="18" x14ac:dyDescent="0.25">
      <c r="B98" s="44">
        <v>1</v>
      </c>
      <c r="C98" s="130"/>
      <c r="D98" s="130"/>
      <c r="E98" s="288" t="str">
        <f>IF(D98="","",C98*D98)</f>
        <v/>
      </c>
      <c r="F98" s="289" t="str">
        <f>IF(D98="","",$C$94*E98*(7.48/720))</f>
        <v/>
      </c>
      <c r="G98" s="130"/>
      <c r="H98" s="130"/>
      <c r="I98" s="289" t="str">
        <f>IF(D98="","",62.4*(G98+H98))</f>
        <v/>
      </c>
      <c r="L98" s="1" t="s">
        <v>409</v>
      </c>
      <c r="M98" s="222">
        <f>C69</f>
        <v>45</v>
      </c>
      <c r="N98" t="s">
        <v>383</v>
      </c>
      <c r="V98" s="249" t="s">
        <v>237</v>
      </c>
      <c r="W98" s="30"/>
      <c r="X98" s="30"/>
      <c r="Y98" s="253"/>
      <c r="Z98" s="17" t="str">
        <f>IF(M26&gt;=0.6,"TRUE","FALSE")</f>
        <v>FALSE</v>
      </c>
      <c r="AA98" s="253"/>
    </row>
    <row r="99" spans="2:27" ht="18" x14ac:dyDescent="0.25">
      <c r="B99" s="39">
        <v>2</v>
      </c>
      <c r="C99" s="54"/>
      <c r="D99" s="54"/>
      <c r="E99" s="288" t="str">
        <f t="shared" ref="E99:E101" si="5">IF(D99="","",C99*D99)</f>
        <v/>
      </c>
      <c r="F99" s="289" t="str">
        <f>IF(D99="","",$C$94*E99*(7.48/720))</f>
        <v/>
      </c>
      <c r="G99" s="130"/>
      <c r="H99" s="54"/>
      <c r="I99" s="289" t="str">
        <f t="shared" ref="I99:I101" si="6">IF(D99="","",62.4*(G99+H99))</f>
        <v/>
      </c>
      <c r="V99" s="255" t="s">
        <v>239</v>
      </c>
      <c r="W99" s="34"/>
      <c r="X99" s="34"/>
      <c r="Y99" s="256"/>
      <c r="Z99" s="14">
        <f>0.5*M26/(M33/M23)</f>
        <v>1.44E-2</v>
      </c>
      <c r="AA99" s="257">
        <f>IF(Z95&gt;Z99,Z95,Z99)</f>
        <v>43.715326374167653</v>
      </c>
    </row>
    <row r="100" spans="2:27" x14ac:dyDescent="0.25">
      <c r="B100" s="39">
        <v>3</v>
      </c>
      <c r="C100" s="54"/>
      <c r="D100" s="54"/>
      <c r="E100" s="288" t="str">
        <f t="shared" si="5"/>
        <v/>
      </c>
      <c r="F100" s="289" t="str">
        <f>IF(D100="","",$C$94*E100*(7.48/720))</f>
        <v/>
      </c>
      <c r="G100" s="130"/>
      <c r="H100" s="54"/>
      <c r="I100" s="289" t="str">
        <f t="shared" si="6"/>
        <v/>
      </c>
    </row>
    <row r="101" spans="2:27" x14ac:dyDescent="0.25">
      <c r="B101" s="39">
        <v>4</v>
      </c>
      <c r="C101" s="54"/>
      <c r="D101" s="54"/>
      <c r="E101" s="288" t="str">
        <f t="shared" si="5"/>
        <v/>
      </c>
      <c r="F101" s="289" t="str">
        <f>IF(D101="","",$C$94*E101*(7.48/720))</f>
        <v/>
      </c>
      <c r="G101" s="54"/>
      <c r="H101" s="54"/>
      <c r="I101" s="289" t="str">
        <f t="shared" si="6"/>
        <v/>
      </c>
    </row>
    <row r="103" spans="2:27" x14ac:dyDescent="0.25">
      <c r="B103" s="45" t="s">
        <v>480</v>
      </c>
      <c r="C103" s="1"/>
      <c r="L103" s="8" t="s">
        <v>152</v>
      </c>
      <c r="V103" t="s">
        <v>123</v>
      </c>
    </row>
    <row r="104" spans="2:27" x14ac:dyDescent="0.25">
      <c r="B104" s="45" t="s">
        <v>404</v>
      </c>
      <c r="C104" t="s">
        <v>452</v>
      </c>
      <c r="L104" s="27" t="str">
        <f t="shared" ref="L104:M106" si="7">L3</f>
        <v>Date:</v>
      </c>
      <c r="M104" s="209">
        <f>N3</f>
        <v>45043</v>
      </c>
      <c r="N104" s="27"/>
      <c r="O104" s="27"/>
      <c r="P104" s="27"/>
      <c r="Q104" s="27"/>
      <c r="V104" s="25" t="s">
        <v>107</v>
      </c>
      <c r="W104" s="25" t="s">
        <v>120</v>
      </c>
      <c r="X104" s="25" t="s">
        <v>124</v>
      </c>
      <c r="Y104" s="25" t="s">
        <v>125</v>
      </c>
    </row>
    <row r="105" spans="2:27" x14ac:dyDescent="0.25">
      <c r="B105" s="30" t="s">
        <v>43</v>
      </c>
      <c r="C105" s="40" t="s">
        <v>44</v>
      </c>
      <c r="D105" s="30" t="s">
        <v>45</v>
      </c>
      <c r="E105" s="39" t="s">
        <v>46</v>
      </c>
      <c r="F105" s="30" t="s">
        <v>59</v>
      </c>
      <c r="G105" s="30"/>
      <c r="L105" s="30" t="str">
        <f t="shared" si="7"/>
        <v>ERZPE Job Number:</v>
      </c>
      <c r="M105" s="30">
        <f>N4</f>
        <v>23044</v>
      </c>
      <c r="N105" s="30"/>
      <c r="O105" s="30"/>
      <c r="P105" s="30"/>
      <c r="Q105" s="30"/>
      <c r="V105" s="16" t="s">
        <v>13</v>
      </c>
      <c r="W105" s="16" t="s">
        <v>126</v>
      </c>
      <c r="X105" s="16" t="s">
        <v>126</v>
      </c>
      <c r="Y105" s="16" t="s">
        <v>126</v>
      </c>
      <c r="Z105" s="21"/>
    </row>
    <row r="106" spans="2:27" x14ac:dyDescent="0.25">
      <c r="B106" s="1" t="s">
        <v>457</v>
      </c>
      <c r="C106" s="173" t="s">
        <v>614</v>
      </c>
      <c r="F106" t="str">
        <f>IF(C106="Report","Geotechnical Report",IF(C106="WSS","USDA Web Soil Survey",IF(C106="N/A","Not Applicable","Other")))</f>
        <v>USDA Web Soil Survey</v>
      </c>
      <c r="L106" s="30">
        <f t="shared" si="7"/>
        <v>0</v>
      </c>
      <c r="M106" s="30">
        <f t="shared" si="7"/>
        <v>0</v>
      </c>
      <c r="N106" s="30"/>
      <c r="O106" s="30"/>
      <c r="P106" s="30"/>
      <c r="Q106" s="30"/>
      <c r="V106" s="17" t="s">
        <v>14</v>
      </c>
      <c r="W106" s="17" t="s">
        <v>126</v>
      </c>
      <c r="X106" s="17" t="s">
        <v>126</v>
      </c>
      <c r="Y106" s="17" t="s">
        <v>126</v>
      </c>
      <c r="Z106" s="21"/>
    </row>
    <row r="107" spans="2:27" x14ac:dyDescent="0.25">
      <c r="B107" s="1" t="s">
        <v>454</v>
      </c>
      <c r="C107" s="276" t="s">
        <v>625</v>
      </c>
      <c r="F107" t="s">
        <v>455</v>
      </c>
      <c r="V107" s="17" t="s">
        <v>15</v>
      </c>
      <c r="W107" s="17" t="s">
        <v>126</v>
      </c>
      <c r="X107" s="17" t="s">
        <v>126</v>
      </c>
      <c r="Y107" s="17" t="s">
        <v>126</v>
      </c>
      <c r="Z107" s="21"/>
    </row>
    <row r="108" spans="2:27" x14ac:dyDescent="0.25">
      <c r="B108" s="1" t="s">
        <v>446</v>
      </c>
      <c r="C108" s="277">
        <v>1500</v>
      </c>
      <c r="D108" t="s">
        <v>204</v>
      </c>
      <c r="E108" s="1">
        <v>422</v>
      </c>
      <c r="F108" s="141" t="s">
        <v>448</v>
      </c>
      <c r="L108" s="45" t="s">
        <v>378</v>
      </c>
      <c r="M108" t="s">
        <v>403</v>
      </c>
      <c r="V108" s="17" t="s">
        <v>10</v>
      </c>
      <c r="W108" s="17" t="s">
        <v>127</v>
      </c>
      <c r="X108" s="17" t="s">
        <v>126</v>
      </c>
      <c r="Y108" s="17" t="s">
        <v>126</v>
      </c>
      <c r="Z108" s="21"/>
    </row>
    <row r="109" spans="2:27" x14ac:dyDescent="0.25">
      <c r="B109" s="1" t="s">
        <v>397</v>
      </c>
      <c r="C109" s="277">
        <v>100</v>
      </c>
      <c r="D109" t="s">
        <v>447</v>
      </c>
      <c r="E109" s="1">
        <v>422</v>
      </c>
      <c r="F109" s="141" t="s">
        <v>448</v>
      </c>
      <c r="L109" s="30" t="s">
        <v>43</v>
      </c>
      <c r="M109" s="40" t="s">
        <v>44</v>
      </c>
      <c r="N109" s="30" t="s">
        <v>45</v>
      </c>
      <c r="O109" s="39" t="s">
        <v>46</v>
      </c>
      <c r="P109" s="30" t="s">
        <v>59</v>
      </c>
      <c r="Q109" s="30"/>
      <c r="V109" s="17" t="s">
        <v>16</v>
      </c>
      <c r="W109" s="17" t="s">
        <v>127</v>
      </c>
      <c r="X109" s="17" t="s">
        <v>126</v>
      </c>
      <c r="Y109" s="17" t="s">
        <v>126</v>
      </c>
      <c r="Z109" s="21"/>
    </row>
    <row r="110" spans="2:27" ht="18" x14ac:dyDescent="0.25">
      <c r="B110" s="215" t="s">
        <v>449</v>
      </c>
      <c r="C110" s="278"/>
      <c r="E110" s="1">
        <v>422</v>
      </c>
      <c r="F110" s="141" t="s">
        <v>448</v>
      </c>
      <c r="L110" s="1" t="s">
        <v>379</v>
      </c>
      <c r="M110" s="214">
        <f>C94</f>
        <v>3.31</v>
      </c>
      <c r="N110" t="s">
        <v>380</v>
      </c>
      <c r="O110" s="1" t="s">
        <v>423</v>
      </c>
      <c r="P110" s="141" t="s">
        <v>422</v>
      </c>
      <c r="V110" s="14" t="s">
        <v>17</v>
      </c>
      <c r="W110" s="14" t="s">
        <v>127</v>
      </c>
      <c r="X110" s="14" t="s">
        <v>126</v>
      </c>
      <c r="Y110" s="14" t="s">
        <v>126</v>
      </c>
      <c r="Z110" s="21"/>
    </row>
    <row r="111" spans="2:27" ht="18" x14ac:dyDescent="0.25">
      <c r="L111" s="1" t="s">
        <v>382</v>
      </c>
      <c r="M111" s="214">
        <f>C95</f>
        <v>0</v>
      </c>
      <c r="N111" t="s">
        <v>383</v>
      </c>
      <c r="O111" s="1">
        <v>35</v>
      </c>
      <c r="P111" s="141" t="s">
        <v>442</v>
      </c>
      <c r="V111" s="21" t="str">
        <f>M45</f>
        <v>A</v>
      </c>
      <c r="W111" s="21" t="str">
        <f>VLOOKUP($V$111,$V$105:$Y$110,2,FALSE)</f>
        <v>P</v>
      </c>
      <c r="X111" s="21" t="str">
        <f>VLOOKUP($V$111,$V$105:$Y$110,3,FALSE)</f>
        <v>P</v>
      </c>
      <c r="Y111" s="21" t="str">
        <f>VLOOKUP($V$111,$V$105:$Y$110,4,FALSE)</f>
        <v>P</v>
      </c>
    </row>
    <row r="112" spans="2:27" ht="18" x14ac:dyDescent="0.25">
      <c r="L112" s="275" t="s">
        <v>384</v>
      </c>
      <c r="M112" s="39" t="s">
        <v>314</v>
      </c>
      <c r="N112" s="39" t="s">
        <v>315</v>
      </c>
      <c r="O112" s="39" t="s">
        <v>13</v>
      </c>
      <c r="P112" s="39" t="s">
        <v>381</v>
      </c>
      <c r="Q112" s="39" t="s">
        <v>382</v>
      </c>
      <c r="R112" s="39" t="s">
        <v>387</v>
      </c>
      <c r="S112" s="39" t="s">
        <v>60</v>
      </c>
      <c r="T112" s="1"/>
      <c r="V112" s="21" t="str">
        <f>M49</f>
        <v>ELFP</v>
      </c>
      <c r="W112" s="21" t="str">
        <f>IF($V$112=W104,W111,0)</f>
        <v>P</v>
      </c>
      <c r="X112" s="21">
        <f>IF($V$112=X104,X111,0)</f>
        <v>0</v>
      </c>
      <c r="Y112" s="21">
        <f>IF($V$112=Y104,Y111,0)</f>
        <v>0</v>
      </c>
    </row>
    <row r="113" spans="12:28" ht="17.25" x14ac:dyDescent="0.25">
      <c r="L113" s="44"/>
      <c r="M113" s="39" t="s">
        <v>158</v>
      </c>
      <c r="N113" s="39" t="s">
        <v>158</v>
      </c>
      <c r="O113" s="39" t="s">
        <v>385</v>
      </c>
      <c r="P113" s="39" t="s">
        <v>386</v>
      </c>
      <c r="Q113" s="39" t="s">
        <v>388</v>
      </c>
      <c r="R113" s="39" t="s">
        <v>388</v>
      </c>
      <c r="S113" s="1" t="s">
        <v>160</v>
      </c>
      <c r="T113" s="1"/>
      <c r="W113" s="244">
        <f>IF(W112="P",1,(IF(W112="P*",2,0)))</f>
        <v>1</v>
      </c>
      <c r="X113" s="244">
        <f t="shared" ref="X113:Y113" si="8">IF(X112="P",1,(IF(X112="P*",2,0)))</f>
        <v>0</v>
      </c>
      <c r="Y113" s="244">
        <f t="shared" si="8"/>
        <v>0</v>
      </c>
      <c r="Z113" s="244">
        <f>SUM(W113:Y113)</f>
        <v>1</v>
      </c>
      <c r="AA113" s="244" t="str">
        <f>IF(Z113=1,"P","P*")</f>
        <v>P</v>
      </c>
    </row>
    <row r="114" spans="12:28" x14ac:dyDescent="0.25">
      <c r="L114" s="39">
        <v>1</v>
      </c>
      <c r="M114" s="290" t="str">
        <f t="shared" ref="M114:P117" si="9">IF(C98="","",C98)</f>
        <v/>
      </c>
      <c r="N114" s="290" t="str">
        <f t="shared" si="9"/>
        <v/>
      </c>
      <c r="O114" s="291" t="str">
        <f t="shared" si="9"/>
        <v/>
      </c>
      <c r="P114" s="290" t="str">
        <f t="shared" si="9"/>
        <v/>
      </c>
      <c r="Q114" s="290" t="str">
        <f>IF(N114="","",G98)</f>
        <v/>
      </c>
      <c r="R114" s="290" t="str">
        <f>IF(N114="","",H98)</f>
        <v/>
      </c>
      <c r="S114" s="124" t="str">
        <f>IF(N114="","",I98)</f>
        <v/>
      </c>
      <c r="T114" s="55"/>
    </row>
    <row r="115" spans="12:28" x14ac:dyDescent="0.25">
      <c r="L115" s="39">
        <v>2</v>
      </c>
      <c r="M115" s="290" t="str">
        <f t="shared" si="9"/>
        <v/>
      </c>
      <c r="N115" s="290" t="str">
        <f t="shared" si="9"/>
        <v/>
      </c>
      <c r="O115" s="291" t="str">
        <f t="shared" si="9"/>
        <v/>
      </c>
      <c r="P115" s="290" t="str">
        <f t="shared" si="9"/>
        <v/>
      </c>
      <c r="Q115" s="290" t="str">
        <f>IF(N115="","",G99)</f>
        <v/>
      </c>
      <c r="R115" s="290" t="str">
        <f>IF(N115="","",H99)</f>
        <v/>
      </c>
      <c r="S115" s="124" t="str">
        <f>IF(N115="","",I99)</f>
        <v/>
      </c>
      <c r="T115" s="55"/>
      <c r="V115" s="25" t="s">
        <v>120</v>
      </c>
      <c r="W115" s="10" t="s">
        <v>130</v>
      </c>
      <c r="X115" s="10"/>
      <c r="Y115" s="10"/>
      <c r="Z115" s="10"/>
      <c r="AA115" s="10"/>
      <c r="AB115" s="11"/>
    </row>
    <row r="116" spans="12:28" x14ac:dyDescent="0.25">
      <c r="L116" s="39">
        <v>3</v>
      </c>
      <c r="M116" s="290" t="str">
        <f t="shared" si="9"/>
        <v/>
      </c>
      <c r="N116" s="290" t="str">
        <f t="shared" si="9"/>
        <v/>
      </c>
      <c r="O116" s="291" t="str">
        <f t="shared" si="9"/>
        <v/>
      </c>
      <c r="P116" s="290" t="str">
        <f t="shared" si="9"/>
        <v/>
      </c>
      <c r="Q116" s="290" t="str">
        <f>IF(N116="","",G100)</f>
        <v/>
      </c>
      <c r="R116" s="290" t="str">
        <f>IF(N116="","",H100)</f>
        <v/>
      </c>
      <c r="S116" s="124" t="str">
        <f>IF(N116="","",I100)</f>
        <v/>
      </c>
      <c r="T116" s="55"/>
      <c r="V116" s="25" t="s">
        <v>124</v>
      </c>
      <c r="W116" s="10" t="s">
        <v>131</v>
      </c>
      <c r="X116" s="10"/>
      <c r="Y116" s="10"/>
      <c r="Z116" s="10"/>
      <c r="AA116" s="10"/>
      <c r="AB116" s="11"/>
    </row>
    <row r="117" spans="12:28" x14ac:dyDescent="0.25">
      <c r="L117" s="39">
        <v>4</v>
      </c>
      <c r="M117" s="290" t="str">
        <f t="shared" si="9"/>
        <v/>
      </c>
      <c r="N117" s="290" t="str">
        <f t="shared" si="9"/>
        <v/>
      </c>
      <c r="O117" s="291" t="str">
        <f t="shared" si="9"/>
        <v/>
      </c>
      <c r="P117" s="290" t="str">
        <f t="shared" si="9"/>
        <v/>
      </c>
      <c r="Q117" s="290" t="str">
        <f>IF(N117="","",G101)</f>
        <v/>
      </c>
      <c r="R117" s="290" t="str">
        <f>IF(N117="","",H101)</f>
        <v/>
      </c>
      <c r="S117" s="124" t="str">
        <f>IF(N117="","",I101)</f>
        <v/>
      </c>
      <c r="T117" s="55"/>
      <c r="V117" s="25" t="s">
        <v>125</v>
      </c>
      <c r="W117" s="10" t="s">
        <v>132</v>
      </c>
      <c r="X117" s="10"/>
      <c r="Y117" s="10"/>
      <c r="Z117" s="10"/>
      <c r="AA117" s="10"/>
      <c r="AB117" s="11"/>
    </row>
    <row r="118" spans="12:28" x14ac:dyDescent="0.25">
      <c r="V118" s="21" t="str">
        <f>V112</f>
        <v>ELFP</v>
      </c>
      <c r="W118" s="38" t="str">
        <f>VLOOKUP(V118,V115:W117,2,FALSE)</f>
        <v>Equivalent Lateral Force Procedure, § 12.8</v>
      </c>
    </row>
    <row r="120" spans="12:28" x14ac:dyDescent="0.25">
      <c r="V120" s="25" t="s">
        <v>126</v>
      </c>
      <c r="W120" s="10" t="s">
        <v>128</v>
      </c>
      <c r="X120" s="10"/>
      <c r="Y120" s="10"/>
      <c r="Z120" s="10"/>
      <c r="AA120" s="10"/>
      <c r="AB120" s="11"/>
    </row>
    <row r="121" spans="12:28" x14ac:dyDescent="0.25">
      <c r="V121" s="25" t="s">
        <v>127</v>
      </c>
      <c r="W121" s="10" t="s">
        <v>129</v>
      </c>
      <c r="X121" s="10"/>
      <c r="Y121" s="10"/>
      <c r="Z121" s="10"/>
      <c r="AA121" s="10"/>
      <c r="AB121" s="11"/>
    </row>
    <row r="122" spans="12:28" x14ac:dyDescent="0.25">
      <c r="V122" s="21" t="str">
        <f>AA113</f>
        <v>P</v>
      </c>
      <c r="W122" s="38" t="str">
        <f>VLOOKUP(V122,V120:W121,2,TRUE)</f>
        <v>Procedure is permitted</v>
      </c>
    </row>
    <row r="123" spans="12:28" x14ac:dyDescent="0.25">
      <c r="L123" s="8" t="s">
        <v>152</v>
      </c>
    </row>
    <row r="124" spans="12:28" x14ac:dyDescent="0.25">
      <c r="L124" s="27" t="str">
        <f t="shared" ref="L124:M126" si="10">L3</f>
        <v>Date:</v>
      </c>
      <c r="M124" s="209">
        <f>N3</f>
        <v>45043</v>
      </c>
      <c r="N124" s="27"/>
      <c r="O124" s="27"/>
      <c r="P124" s="27"/>
      <c r="Q124" s="27"/>
    </row>
    <row r="125" spans="12:28" x14ac:dyDescent="0.25">
      <c r="L125" s="30" t="str">
        <f t="shared" si="10"/>
        <v>ERZPE Job Number:</v>
      </c>
      <c r="M125" s="30">
        <f>N4</f>
        <v>23044</v>
      </c>
      <c r="N125" s="30"/>
      <c r="O125" s="30"/>
      <c r="P125" s="30"/>
      <c r="Q125" s="30"/>
    </row>
    <row r="126" spans="12:28" x14ac:dyDescent="0.25">
      <c r="L126" s="30">
        <f t="shared" si="10"/>
        <v>0</v>
      </c>
      <c r="M126" s="30">
        <f t="shared" si="10"/>
        <v>0</v>
      </c>
      <c r="N126" s="30"/>
      <c r="O126" s="30"/>
      <c r="P126" s="30"/>
      <c r="Q126" s="30"/>
    </row>
    <row r="128" spans="12:28" x14ac:dyDescent="0.25">
      <c r="L128" s="45" t="s">
        <v>404</v>
      </c>
      <c r="M128" t="s">
        <v>452</v>
      </c>
    </row>
    <row r="129" spans="12:28" x14ac:dyDescent="0.25">
      <c r="L129" s="30" t="s">
        <v>43</v>
      </c>
      <c r="M129" s="40" t="s">
        <v>44</v>
      </c>
      <c r="N129" s="30" t="s">
        <v>45</v>
      </c>
      <c r="O129" s="39" t="s">
        <v>46</v>
      </c>
      <c r="P129" s="30" t="s">
        <v>59</v>
      </c>
      <c r="Q129" s="30"/>
    </row>
    <row r="130" spans="12:28" x14ac:dyDescent="0.25">
      <c r="L130" s="1" t="s">
        <v>457</v>
      </c>
      <c r="M130" s="258" t="str">
        <f>C106</f>
        <v>WSS</v>
      </c>
      <c r="P130" t="str">
        <f>IF(M130="Report","Geotechnical Report",IF(M130="WSS","USDA Web Soil Survey",IF(M130="N/A","Not Applicable","Other")))</f>
        <v>USDA Web Soil Survey</v>
      </c>
      <c r="V130" s="8" t="s">
        <v>372</v>
      </c>
    </row>
    <row r="131" spans="12:28" x14ac:dyDescent="0.25">
      <c r="L131" s="1" t="s">
        <v>454</v>
      </c>
      <c r="M131" s="259" t="str">
        <f>C107</f>
        <v>CL</v>
      </c>
      <c r="P131" t="s">
        <v>455</v>
      </c>
    </row>
    <row r="132" spans="12:28" ht="18" x14ac:dyDescent="0.25">
      <c r="L132" s="1" t="s">
        <v>446</v>
      </c>
      <c r="M132" s="260">
        <f>C108</f>
        <v>1500</v>
      </c>
      <c r="N132" t="s">
        <v>204</v>
      </c>
      <c r="O132" s="1">
        <v>422</v>
      </c>
      <c r="P132" s="141" t="s">
        <v>448</v>
      </c>
      <c r="V132" t="s">
        <v>181</v>
      </c>
    </row>
    <row r="133" spans="12:28" x14ac:dyDescent="0.25">
      <c r="L133" s="1" t="s">
        <v>397</v>
      </c>
      <c r="M133" s="260">
        <f>C109</f>
        <v>100</v>
      </c>
      <c r="N133" t="s">
        <v>447</v>
      </c>
      <c r="O133" s="1">
        <v>422</v>
      </c>
      <c r="P133" s="141" t="s">
        <v>448</v>
      </c>
      <c r="V133" s="25" t="s">
        <v>189</v>
      </c>
      <c r="W133" s="25" t="s">
        <v>190</v>
      </c>
      <c r="X133" s="10" t="s">
        <v>191</v>
      </c>
      <c r="Y133" s="10"/>
      <c r="Z133" s="10"/>
      <c r="AA133" s="10"/>
      <c r="AB133" s="11"/>
    </row>
    <row r="134" spans="12:28" ht="18" x14ac:dyDescent="0.25">
      <c r="L134" s="215" t="s">
        <v>449</v>
      </c>
      <c r="M134" s="261">
        <f>C110</f>
        <v>0</v>
      </c>
      <c r="O134" s="1">
        <v>422</v>
      </c>
      <c r="P134" s="141" t="s">
        <v>448</v>
      </c>
      <c r="V134" s="16" t="s">
        <v>182</v>
      </c>
      <c r="W134" s="16">
        <v>252</v>
      </c>
      <c r="X134" s="27" t="s">
        <v>185</v>
      </c>
      <c r="Y134" s="27"/>
      <c r="Z134" s="27"/>
      <c r="AA134" s="27"/>
      <c r="AB134" s="231"/>
    </row>
    <row r="135" spans="12:28" x14ac:dyDescent="0.25">
      <c r="V135" s="17" t="s">
        <v>172</v>
      </c>
      <c r="W135" s="17">
        <v>253</v>
      </c>
      <c r="X135" s="30" t="s">
        <v>186</v>
      </c>
      <c r="Y135" s="30"/>
      <c r="Z135" s="30"/>
      <c r="AA135" s="30"/>
      <c r="AB135" s="31"/>
    </row>
    <row r="136" spans="12:28" x14ac:dyDescent="0.25">
      <c r="V136" s="17" t="s">
        <v>183</v>
      </c>
      <c r="W136" s="17">
        <v>254</v>
      </c>
      <c r="X136" s="30" t="s">
        <v>187</v>
      </c>
      <c r="Y136" s="30"/>
      <c r="Z136" s="30"/>
      <c r="AA136" s="30"/>
      <c r="AB136" s="31"/>
    </row>
    <row r="137" spans="12:28" x14ac:dyDescent="0.25">
      <c r="V137" s="14" t="s">
        <v>184</v>
      </c>
      <c r="W137" s="14">
        <v>255</v>
      </c>
      <c r="X137" s="34" t="s">
        <v>188</v>
      </c>
      <c r="Y137" s="34"/>
      <c r="Z137" s="34"/>
      <c r="AA137" s="34"/>
      <c r="AB137" s="35"/>
    </row>
    <row r="138" spans="12:28" x14ac:dyDescent="0.25">
      <c r="V138" s="21" t="str">
        <f>P69</f>
        <v>F 26.8-1</v>
      </c>
      <c r="W138" s="21" t="e">
        <f>VLOOKUP($V$138,$V$134:$X$137,2,FALSE)</f>
        <v>#N/A</v>
      </c>
      <c r="X138" s="38" t="e">
        <f>VLOOKUP($V$138,$V$134:$X$137,3,FALSE)</f>
        <v>#N/A</v>
      </c>
    </row>
    <row r="140" spans="12:28" ht="18" x14ac:dyDescent="0.25">
      <c r="V140" s="228" t="s">
        <v>206</v>
      </c>
      <c r="W140" s="228"/>
      <c r="X140" s="228"/>
      <c r="Y140" s="228"/>
      <c r="Z140" s="228"/>
    </row>
    <row r="141" spans="12:28" x14ac:dyDescent="0.25">
      <c r="V141" s="9" t="s">
        <v>154</v>
      </c>
      <c r="W141" s="11"/>
      <c r="X141" s="25" t="s">
        <v>14</v>
      </c>
      <c r="Y141" s="25" t="s">
        <v>15</v>
      </c>
      <c r="Z141" s="25" t="s">
        <v>10</v>
      </c>
    </row>
    <row r="142" spans="12:28" x14ac:dyDescent="0.25">
      <c r="V142" s="230" t="s">
        <v>205</v>
      </c>
      <c r="W142" s="231"/>
      <c r="X142" s="210">
        <v>0.9</v>
      </c>
      <c r="Y142" s="210">
        <v>0.9</v>
      </c>
      <c r="Z142" s="210">
        <v>0.8</v>
      </c>
    </row>
    <row r="143" spans="12:28" x14ac:dyDescent="0.25">
      <c r="V143" s="29" t="s">
        <v>207</v>
      </c>
      <c r="W143" s="31"/>
      <c r="X143" s="18">
        <v>1</v>
      </c>
      <c r="Y143" s="18">
        <v>1</v>
      </c>
      <c r="Z143" s="18">
        <v>0.9</v>
      </c>
    </row>
    <row r="144" spans="12:28" x14ac:dyDescent="0.25">
      <c r="V144" s="33" t="s">
        <v>161</v>
      </c>
      <c r="W144" s="35"/>
      <c r="X144" s="20">
        <v>1.2</v>
      </c>
      <c r="Y144" s="20">
        <v>1.1000000000000001</v>
      </c>
      <c r="Z144" s="20">
        <v>1</v>
      </c>
      <c r="AA144" s="21" t="str">
        <f>M91</f>
        <v>C</v>
      </c>
    </row>
    <row r="145" spans="22:29" x14ac:dyDescent="0.25">
      <c r="V145" s="38" t="str">
        <f>M90</f>
        <v>Fully Exposed</v>
      </c>
      <c r="X145" s="22">
        <f>VLOOKUP($V$145,$V$142:$Z$144,3,FALSE)</f>
        <v>0.9</v>
      </c>
      <c r="Y145" s="22">
        <f>VLOOKUP($V$145,$V$142:$Z$144,4,FALSE)</f>
        <v>0.9</v>
      </c>
      <c r="Z145" s="22">
        <f>VLOOKUP($V$145,$V$142:$Z$144,5,FALSE)</f>
        <v>0.8</v>
      </c>
      <c r="AA145" s="262">
        <f>HLOOKUP(AA144,X141:Z145,5,FALSE)</f>
        <v>0.9</v>
      </c>
    </row>
    <row r="147" spans="22:29" ht="18" x14ac:dyDescent="0.25">
      <c r="V147" s="9" t="s">
        <v>208</v>
      </c>
      <c r="W147" s="10"/>
      <c r="X147" s="10"/>
      <c r="Y147" s="10"/>
      <c r="Z147" s="10"/>
      <c r="AA147" s="10"/>
      <c r="AB147" s="11"/>
    </row>
    <row r="148" spans="22:29" x14ac:dyDescent="0.25">
      <c r="V148" s="9" t="s">
        <v>114</v>
      </c>
      <c r="W148" s="10"/>
      <c r="X148" s="263" t="s">
        <v>212</v>
      </c>
      <c r="Y148" s="10"/>
      <c r="Z148" s="46" t="s">
        <v>213</v>
      </c>
      <c r="AA148" s="46"/>
      <c r="AB148" s="11"/>
    </row>
    <row r="149" spans="22:29" ht="18" x14ac:dyDescent="0.25">
      <c r="V149" s="230" t="s">
        <v>209</v>
      </c>
      <c r="W149" s="27"/>
      <c r="X149" s="43" t="s">
        <v>211</v>
      </c>
      <c r="Y149" s="264">
        <f>M93*M88</f>
        <v>40</v>
      </c>
      <c r="Z149" s="240" t="str">
        <f>IF(M88&lt;=20,"TRUE","FALSE")</f>
        <v>FALSE</v>
      </c>
      <c r="AA149" s="47"/>
      <c r="AB149" s="231"/>
      <c r="AC149" s="265">
        <f>IF(Z149="TRUE",Y149,0)</f>
        <v>0</v>
      </c>
    </row>
    <row r="150" spans="22:29" ht="18" x14ac:dyDescent="0.25">
      <c r="V150" s="33" t="s">
        <v>210</v>
      </c>
      <c r="W150" s="34"/>
      <c r="X150" s="266" t="s">
        <v>211</v>
      </c>
      <c r="Y150" s="267">
        <f>20*M93</f>
        <v>20</v>
      </c>
      <c r="Z150" s="268" t="str">
        <f>IF(M88&gt;20,"TRUE","FALSE")</f>
        <v>TRUE</v>
      </c>
      <c r="AA150" s="34"/>
      <c r="AB150" s="35"/>
      <c r="AC150" s="265">
        <f>IF(Z150="TRUE",Y150,0)</f>
        <v>20</v>
      </c>
    </row>
    <row r="151" spans="22:29" x14ac:dyDescent="0.25">
      <c r="AC151" s="269">
        <f>SUM(AC149:AC150)</f>
        <v>20</v>
      </c>
    </row>
    <row r="153" spans="22:29" ht="18" x14ac:dyDescent="0.25">
      <c r="V153" s="41" t="s">
        <v>208</v>
      </c>
    </row>
    <row r="154" spans="22:29" x14ac:dyDescent="0.25">
      <c r="V154" s="9" t="s">
        <v>220</v>
      </c>
      <c r="W154" s="11"/>
      <c r="X154" s="25" t="s">
        <v>226</v>
      </c>
      <c r="Z154" s="38"/>
    </row>
    <row r="155" spans="22:29" x14ac:dyDescent="0.25">
      <c r="V155" s="230" t="s">
        <v>223</v>
      </c>
      <c r="W155" s="231"/>
      <c r="X155" s="210">
        <v>15</v>
      </c>
      <c r="Y155" s="226"/>
      <c r="Z155" s="21"/>
    </row>
    <row r="156" spans="22:29" x14ac:dyDescent="0.25">
      <c r="V156" s="29" t="s">
        <v>224</v>
      </c>
      <c r="W156" s="31"/>
      <c r="X156" s="18">
        <v>15</v>
      </c>
      <c r="Y156" s="226"/>
      <c r="Z156" s="21"/>
      <c r="AA156" s="21"/>
    </row>
    <row r="157" spans="22:29" x14ac:dyDescent="0.25">
      <c r="V157" s="29" t="s">
        <v>225</v>
      </c>
      <c r="W157" s="31"/>
      <c r="X157" s="18">
        <v>15</v>
      </c>
      <c r="Y157" s="226"/>
      <c r="Z157" s="21"/>
      <c r="AA157" s="21"/>
    </row>
    <row r="158" spans="22:29" x14ac:dyDescent="0.25">
      <c r="V158" s="33" t="s">
        <v>227</v>
      </c>
      <c r="W158" s="35"/>
      <c r="X158" s="20">
        <v>10</v>
      </c>
      <c r="Y158" s="226"/>
      <c r="Z158" s="21" t="s">
        <v>231</v>
      </c>
      <c r="AA158" s="21"/>
    </row>
    <row r="159" spans="22:29" x14ac:dyDescent="0.25">
      <c r="V159" s="217" t="str">
        <f>$M$87</f>
        <v>Monoslope</v>
      </c>
      <c r="X159" s="22">
        <f>VLOOKUP(V159,V155:X158,3,FALSE)</f>
        <v>15</v>
      </c>
      <c r="Y159" s="226">
        <f>M18</f>
        <v>4.7636416907261774</v>
      </c>
      <c r="Z159" s="244" t="str">
        <f>IF(Y159&lt;X159,"OK","NG")</f>
        <v>OK</v>
      </c>
    </row>
  </sheetData>
  <sheetProtection algorithmName="SHA-512" hashValue="aRynVADtsVBPf4Yr9GLXtqlKxMsSVGQEl4ad0I/LyFerDh7wloTubEJ0qSAUpSSFLf6lFMzDRCSzoQUnQjcrDw==" saltValue="TxJTRC1yz/UdSFYOeh/MMw==" spinCount="100000" sheet="1" selectLockedCells="1"/>
  <mergeCells count="5">
    <mergeCell ref="N3:O3"/>
    <mergeCell ref="C47:D47"/>
    <mergeCell ref="C89:D89"/>
    <mergeCell ref="I3:J3"/>
    <mergeCell ref="I4:J4"/>
  </mergeCells>
  <dataValidations count="19">
    <dataValidation type="list" allowBlank="1" showInputMessage="1" showErrorMessage="1" sqref="C22" xr:uid="{00000000-0002-0000-0000-000000000000}">
      <formula1>"A,B,C,D,E,F"</formula1>
    </dataValidation>
    <dataValidation type="list" allowBlank="1" showInputMessage="1" showErrorMessage="1" sqref="C21" xr:uid="{00000000-0002-0000-0000-000001000000}">
      <formula1>"I,II,III,IV"</formula1>
    </dataValidation>
    <dataValidation type="list" allowBlank="1" showInputMessage="1" showErrorMessage="1" sqref="C29" xr:uid="{00000000-0002-0000-0000-000002000000}">
      <formula1>"4,6,8,10,12,14,16,18"</formula1>
    </dataValidation>
    <dataValidation type="list" allowBlank="1" showInputMessage="1" showErrorMessage="1" sqref="C26" xr:uid="{00000000-0002-0000-0000-000004000000}">
      <formula1>"SMRF,CMRF,SEBF,SBRBF,Other"</formula1>
    </dataValidation>
    <dataValidation type="list" allowBlank="1" showInputMessage="1" showErrorMessage="1" sqref="C31" xr:uid="{00000000-0002-0000-0000-000005000000}">
      <formula1>"ELFP,MRSA,SRHP"</formula1>
    </dataValidation>
    <dataValidation type="list" allowBlank="1" showInputMessage="1" showErrorMessage="1" sqref="C51" xr:uid="{00000000-0002-0000-0000-000006000000}">
      <formula1>"100,105,110,115,120,125,130,135,140,145,150,155,160,165,170,175,180,190,195,200"</formula1>
    </dataValidation>
    <dataValidation type="list" allowBlank="1" showInputMessage="1" showErrorMessage="1" sqref="C52" xr:uid="{00000000-0002-0000-0000-000007000000}">
      <formula1>"0.85,0.90,0.95"</formula1>
    </dataValidation>
    <dataValidation type="list" allowBlank="1" showInputMessage="1" showErrorMessage="1" sqref="C57" xr:uid="{00000000-0002-0000-0000-000008000000}">
      <formula1>"B,C,D"</formula1>
    </dataValidation>
    <dataValidation type="list" allowBlank="1" showInputMessage="1" showErrorMessage="1" sqref="C66" xr:uid="{00000000-0002-0000-0000-000009000000}">
      <formula1>"Fully Exposed,Partially Exposed,Sheltered"</formula1>
    </dataValidation>
    <dataValidation type="list" allowBlank="1" showInputMessage="1" showErrorMessage="1" sqref="C67" xr:uid="{00000000-0002-0000-0000-00000A000000}">
      <formula1>"0.85,1.0,1.1,1.2,1.3"</formula1>
    </dataValidation>
    <dataValidation type="list" allowBlank="1" showInputMessage="1" showErrorMessage="1" sqref="C64" xr:uid="{00000000-0002-0000-0000-00000B000000}">
      <formula1>"Monoslope,Hip,Gable,Curved"</formula1>
    </dataValidation>
    <dataValidation type="list" allowBlank="1" showInputMessage="1" showErrorMessage="1" sqref="C12" xr:uid="{00000000-0002-0000-0000-00000C000000}">
      <formula1>"Flat,Shed,Ridge"</formula1>
    </dataValidation>
    <dataValidation type="list" allowBlank="1" showInputMessage="1" showErrorMessage="1" sqref="C32" xr:uid="{639946D0-4E3D-4549-905E-FE8B3A0E2D95}">
      <formula1>"N/A,1a,1b,2,3,4,5"</formula1>
    </dataValidation>
    <dataValidation type="list" allowBlank="1" showInputMessage="1" showErrorMessage="1" sqref="C33" xr:uid="{0BFCF44C-60A8-4FC9-A1A2-2B79575389FE}">
      <formula1>"N/A,1a,1b,2,3,4,5a,5b"</formula1>
    </dataValidation>
    <dataValidation type="list" allowBlank="1" showInputMessage="1" showErrorMessage="1" sqref="C60" xr:uid="{A3463A79-D208-44FD-868C-8011AA2B6D05}">
      <formula1>"YES,NO"</formula1>
    </dataValidation>
    <dataValidation type="list" allowBlank="1" showInputMessage="1" showErrorMessage="1" sqref="C106" xr:uid="{445D71AF-1FF0-47BA-83BB-EC2701A656F0}">
      <formula1>"Report,WSS,N/A,Other"</formula1>
    </dataValidation>
    <dataValidation type="list" allowBlank="1" showInputMessage="1" showErrorMessage="1" sqref="C58" xr:uid="{567D0209-189B-4E61-9C85-8A9752A444A9}">
      <formula1>"Enclosed,Open,Partially Open.L-Shaped"</formula1>
    </dataValidation>
    <dataValidation type="list" allowBlank="1" showInputMessage="1" showErrorMessage="1" sqref="C13" xr:uid="{CB44C9E9-A60D-4A17-B068-6FABF5DED3CE}">
      <formula1>"rise/run,elevation"</formula1>
    </dataValidation>
    <dataValidation type="list" allowBlank="1" showInputMessage="1" showErrorMessage="1" sqref="C25" xr:uid="{E4D8B8BC-7FD1-474B-A7F2-5D622E48E0E4}">
      <formula1>$AF$6:$AF$24</formula1>
    </dataValidation>
  </dataValidations>
  <pageMargins left="0.7" right="0.7" top="0.75" bottom="0.75" header="0.3" footer="0.3"/>
  <pageSetup orientation="portrait" horizontalDpi="1200" verticalDpi="1200" r:id="rId1"/>
  <headerFooter>
    <oddHeader>&amp;LFile: &amp;F</oddHeader>
    <oddFooter>&amp;R&amp;P/&amp;N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06814-FC04-496E-B754-2B2DD60ADA07}">
  <dimension ref="B1:N152"/>
  <sheetViews>
    <sheetView showGridLines="0" zoomScaleNormal="100" workbookViewId="0">
      <selection activeCell="D9" sqref="D9"/>
    </sheetView>
  </sheetViews>
  <sheetFormatPr defaultRowHeight="15" x14ac:dyDescent="0.25"/>
  <cols>
    <col min="1" max="1" width="1.7109375" customWidth="1"/>
    <col min="3" max="3" width="2.7109375" style="1" customWidth="1"/>
    <col min="6" max="6" width="9.140625" customWidth="1"/>
  </cols>
  <sheetData>
    <row r="1" spans="2:14" x14ac:dyDescent="0.25">
      <c r="B1" s="8" t="s">
        <v>477</v>
      </c>
      <c r="L1" s="8" t="s">
        <v>95</v>
      </c>
    </row>
    <row r="2" spans="2:14" x14ac:dyDescent="0.25">
      <c r="B2" s="43" t="s">
        <v>136</v>
      </c>
      <c r="C2" s="44"/>
      <c r="D2" s="174">
        <f>'ENV|In'!N4</f>
        <v>23044</v>
      </c>
      <c r="E2" s="27"/>
      <c r="F2" s="27"/>
      <c r="G2" s="27"/>
      <c r="H2" s="27"/>
    </row>
    <row r="3" spans="2:14" x14ac:dyDescent="0.25">
      <c r="B3" s="40" t="s">
        <v>483</v>
      </c>
      <c r="C3" s="39"/>
      <c r="D3" s="312">
        <f>'ENV|In'!N3</f>
        <v>45043</v>
      </c>
      <c r="E3" s="313"/>
      <c r="F3" s="30"/>
      <c r="G3" s="30"/>
      <c r="H3" s="30"/>
      <c r="L3" s="51" t="s">
        <v>67</v>
      </c>
      <c r="M3" s="50"/>
    </row>
    <row r="4" spans="2:14" x14ac:dyDescent="0.25">
      <c r="C4"/>
      <c r="L4" s="25" t="s">
        <v>63</v>
      </c>
      <c r="M4" s="25" t="s">
        <v>66</v>
      </c>
    </row>
    <row r="5" spans="2:14" x14ac:dyDescent="0.25">
      <c r="L5" s="16">
        <v>91</v>
      </c>
      <c r="M5" s="16" t="s">
        <v>468</v>
      </c>
    </row>
    <row r="6" spans="2:14" x14ac:dyDescent="0.25">
      <c r="B6" s="45" t="s">
        <v>135</v>
      </c>
      <c r="L6" s="14">
        <v>93</v>
      </c>
      <c r="M6" s="14" t="s">
        <v>469</v>
      </c>
    </row>
    <row r="7" spans="2:14" x14ac:dyDescent="0.25">
      <c r="B7" s="30" t="s">
        <v>43</v>
      </c>
      <c r="C7" s="39"/>
      <c r="D7" s="40" t="s">
        <v>44</v>
      </c>
      <c r="E7" s="30" t="s">
        <v>45</v>
      </c>
      <c r="F7" s="39" t="s">
        <v>46</v>
      </c>
      <c r="G7" s="30" t="s">
        <v>59</v>
      </c>
      <c r="H7" s="30"/>
      <c r="L7" s="26">
        <f>F9</f>
        <v>91</v>
      </c>
      <c r="M7" s="26" t="str">
        <f>VLOOKUP(L7,L5:M6,2)</f>
        <v>T 13.5-1</v>
      </c>
    </row>
    <row r="8" spans="2:14" ht="18" x14ac:dyDescent="0.25">
      <c r="B8" s="1" t="s">
        <v>4</v>
      </c>
      <c r="C8" s="1" t="s">
        <v>42</v>
      </c>
      <c r="D8" s="19">
        <f>'ENV|In'!M31</f>
        <v>5.6533333333333331E-2</v>
      </c>
      <c r="E8" t="s">
        <v>8</v>
      </c>
      <c r="F8" s="1">
        <v>55</v>
      </c>
      <c r="G8" t="s">
        <v>55</v>
      </c>
    </row>
    <row r="9" spans="2:14" ht="18" x14ac:dyDescent="0.25">
      <c r="B9" s="1" t="s">
        <v>462</v>
      </c>
      <c r="C9" s="1" t="s">
        <v>42</v>
      </c>
      <c r="D9" s="6">
        <v>1</v>
      </c>
      <c r="F9" s="5">
        <v>91</v>
      </c>
      <c r="G9" t="str">
        <f>'ENV|In (Ch.13)'!M7</f>
        <v>T 13.5-1</v>
      </c>
      <c r="L9" s="51" t="s">
        <v>475</v>
      </c>
      <c r="M9" s="50"/>
    </row>
    <row r="10" spans="2:14" ht="18" x14ac:dyDescent="0.25">
      <c r="B10" s="1" t="s">
        <v>465</v>
      </c>
      <c r="C10" s="1" t="s">
        <v>42</v>
      </c>
      <c r="D10" s="6">
        <v>2.5</v>
      </c>
      <c r="F10" s="1">
        <f>F9</f>
        <v>91</v>
      </c>
      <c r="G10" t="str">
        <f>G9</f>
        <v>T 13.5-1</v>
      </c>
      <c r="L10" s="25" t="s">
        <v>467</v>
      </c>
      <c r="M10" s="25" t="s">
        <v>467</v>
      </c>
      <c r="N10" s="25" t="s">
        <v>476</v>
      </c>
    </row>
    <row r="11" spans="2:14" ht="18" x14ac:dyDescent="0.25">
      <c r="B11" s="1" t="s">
        <v>470</v>
      </c>
      <c r="C11" s="1" t="s">
        <v>42</v>
      </c>
      <c r="D11" s="6">
        <v>2.5</v>
      </c>
      <c r="F11" s="1">
        <f>F9</f>
        <v>91</v>
      </c>
      <c r="G11" t="str">
        <f>G9</f>
        <v>T 13.5-1</v>
      </c>
      <c r="L11" s="28">
        <f>((0.4*D9*D8*D13)/(D10/D12))*(1+2*D14/D15)</f>
        <v>5.4272000000000001E-4</v>
      </c>
      <c r="M11" s="176">
        <f>IF(AND(L11&lt;L12,L11&gt;L13),L11,0)</f>
        <v>5.4272000000000001E-4</v>
      </c>
      <c r="N11" s="16" t="s">
        <v>478</v>
      </c>
    </row>
    <row r="12" spans="2:14" ht="18" x14ac:dyDescent="0.25">
      <c r="B12" s="1" t="s">
        <v>463</v>
      </c>
      <c r="C12" s="1" t="s">
        <v>42</v>
      </c>
      <c r="D12" s="6">
        <v>1</v>
      </c>
      <c r="F12" s="1">
        <v>87</v>
      </c>
      <c r="G12" t="s">
        <v>471</v>
      </c>
      <c r="L12" s="32">
        <f>1.6*D8*D12*D13</f>
        <v>1.8090666666666665E-3</v>
      </c>
      <c r="M12" s="177">
        <f>IF(L11&gt;L12,L12,0)</f>
        <v>0</v>
      </c>
      <c r="N12" s="17" t="s">
        <v>479</v>
      </c>
    </row>
    <row r="13" spans="2:14" ht="18" x14ac:dyDescent="0.25">
      <c r="B13" s="1" t="s">
        <v>464</v>
      </c>
      <c r="C13" s="1" t="s">
        <v>42</v>
      </c>
      <c r="D13" s="6">
        <f>20/1000</f>
        <v>0.02</v>
      </c>
      <c r="E13" t="s">
        <v>472</v>
      </c>
      <c r="F13" s="1">
        <v>89</v>
      </c>
      <c r="G13" t="s">
        <v>473</v>
      </c>
      <c r="L13" s="36">
        <f>0.3*D8*D12*D13</f>
        <v>3.392E-4</v>
      </c>
      <c r="M13" s="178">
        <f>IF(L11&lt;L13,L13,0)</f>
        <v>0</v>
      </c>
      <c r="N13" s="14" t="s">
        <v>474</v>
      </c>
    </row>
    <row r="14" spans="2:14" x14ac:dyDescent="0.25">
      <c r="B14" s="1" t="s">
        <v>466</v>
      </c>
      <c r="C14" s="1" t="s">
        <v>42</v>
      </c>
      <c r="D14" s="6">
        <f>11+10.5/12</f>
        <v>11.875</v>
      </c>
      <c r="E14" t="s">
        <v>87</v>
      </c>
      <c r="F14" s="1">
        <v>89</v>
      </c>
      <c r="G14" t="s">
        <v>473</v>
      </c>
      <c r="M14" s="175">
        <f>SUM(M11:M13)</f>
        <v>5.4272000000000001E-4</v>
      </c>
      <c r="N14" s="179" t="str">
        <f>VLOOKUP(M14,L11:N13,3,TRUE)</f>
        <v>EQ 13.3-1</v>
      </c>
    </row>
    <row r="15" spans="2:14" x14ac:dyDescent="0.25">
      <c r="B15" s="1" t="s">
        <v>173</v>
      </c>
      <c r="C15" s="1" t="s">
        <v>42</v>
      </c>
      <c r="D15" s="6">
        <f>11+10.5/12</f>
        <v>11.875</v>
      </c>
      <c r="E15" t="s">
        <v>87</v>
      </c>
      <c r="F15" s="1">
        <v>89</v>
      </c>
      <c r="G15" t="s">
        <v>473</v>
      </c>
    </row>
    <row r="16" spans="2:14" ht="18" x14ac:dyDescent="0.25">
      <c r="B16" s="1" t="s">
        <v>467</v>
      </c>
      <c r="C16" s="1" t="s">
        <v>42</v>
      </c>
      <c r="D16" s="19">
        <f>M14</f>
        <v>5.4272000000000001E-4</v>
      </c>
      <c r="E16" t="s">
        <v>472</v>
      </c>
      <c r="F16" s="1">
        <v>89</v>
      </c>
      <c r="G16" t="str">
        <f>N14</f>
        <v>EQ 13.3-1</v>
      </c>
    </row>
    <row r="18" spans="3:3" x14ac:dyDescent="0.25">
      <c r="C18"/>
    </row>
    <row r="19" spans="3:3" x14ac:dyDescent="0.25">
      <c r="C19"/>
    </row>
    <row r="20" spans="3:3" x14ac:dyDescent="0.25">
      <c r="C20"/>
    </row>
    <row r="21" spans="3:3" x14ac:dyDescent="0.25">
      <c r="C21"/>
    </row>
    <row r="22" spans="3:3" x14ac:dyDescent="0.25">
      <c r="C22"/>
    </row>
    <row r="23" spans="3:3" x14ac:dyDescent="0.25">
      <c r="C23"/>
    </row>
    <row r="24" spans="3:3" x14ac:dyDescent="0.25">
      <c r="C24"/>
    </row>
    <row r="25" spans="3:3" x14ac:dyDescent="0.25">
      <c r="C25"/>
    </row>
    <row r="26" spans="3:3" x14ac:dyDescent="0.25">
      <c r="C26"/>
    </row>
    <row r="27" spans="3:3" x14ac:dyDescent="0.25">
      <c r="C27"/>
    </row>
    <row r="28" spans="3:3" x14ac:dyDescent="0.25">
      <c r="C28"/>
    </row>
    <row r="29" spans="3:3" x14ac:dyDescent="0.25">
      <c r="C29"/>
    </row>
    <row r="30" spans="3:3" x14ac:dyDescent="0.25">
      <c r="C30"/>
    </row>
    <row r="31" spans="3:3" x14ac:dyDescent="0.25">
      <c r="C31"/>
    </row>
    <row r="32" spans="3:3" x14ac:dyDescent="0.25">
      <c r="C32"/>
    </row>
    <row r="33" spans="3:3" x14ac:dyDescent="0.25">
      <c r="C33"/>
    </row>
    <row r="34" spans="3:3" x14ac:dyDescent="0.25">
      <c r="C34"/>
    </row>
    <row r="35" spans="3:3" x14ac:dyDescent="0.25">
      <c r="C35"/>
    </row>
    <row r="36" spans="3:3" x14ac:dyDescent="0.25">
      <c r="C36"/>
    </row>
    <row r="37" spans="3:3" x14ac:dyDescent="0.25">
      <c r="C37"/>
    </row>
    <row r="38" spans="3:3" x14ac:dyDescent="0.25">
      <c r="C38"/>
    </row>
    <row r="39" spans="3:3" x14ac:dyDescent="0.25">
      <c r="C39"/>
    </row>
    <row r="40" spans="3:3" x14ac:dyDescent="0.25">
      <c r="C40"/>
    </row>
    <row r="41" spans="3:3" x14ac:dyDescent="0.25">
      <c r="C41"/>
    </row>
    <row r="42" spans="3:3" x14ac:dyDescent="0.25">
      <c r="C42"/>
    </row>
    <row r="43" spans="3:3" x14ac:dyDescent="0.25">
      <c r="C43"/>
    </row>
    <row r="44" spans="3:3" x14ac:dyDescent="0.25">
      <c r="C44"/>
    </row>
    <row r="45" spans="3:3" x14ac:dyDescent="0.25">
      <c r="C45"/>
    </row>
    <row r="46" spans="3:3" x14ac:dyDescent="0.25">
      <c r="C46"/>
    </row>
    <row r="47" spans="3:3" x14ac:dyDescent="0.25">
      <c r="C47"/>
    </row>
    <row r="48" spans="3:3" x14ac:dyDescent="0.25">
      <c r="C48"/>
    </row>
    <row r="49" spans="3:3" x14ac:dyDescent="0.25">
      <c r="C49"/>
    </row>
    <row r="50" spans="3:3" x14ac:dyDescent="0.25">
      <c r="C50"/>
    </row>
    <row r="51" spans="3:3" x14ac:dyDescent="0.25">
      <c r="C51"/>
    </row>
    <row r="52" spans="3:3" x14ac:dyDescent="0.25">
      <c r="C52"/>
    </row>
    <row r="53" spans="3:3" x14ac:dyDescent="0.25">
      <c r="C53"/>
    </row>
    <row r="54" spans="3:3" x14ac:dyDescent="0.25">
      <c r="C54"/>
    </row>
    <row r="55" spans="3:3" x14ac:dyDescent="0.25">
      <c r="C55"/>
    </row>
    <row r="56" spans="3:3" x14ac:dyDescent="0.25">
      <c r="C56"/>
    </row>
    <row r="57" spans="3:3" x14ac:dyDescent="0.25">
      <c r="C57"/>
    </row>
    <row r="58" spans="3:3" x14ac:dyDescent="0.25">
      <c r="C58"/>
    </row>
    <row r="59" spans="3:3" x14ac:dyDescent="0.25">
      <c r="C59"/>
    </row>
    <row r="60" spans="3:3" x14ac:dyDescent="0.25">
      <c r="C60"/>
    </row>
    <row r="61" spans="3:3" x14ac:dyDescent="0.25">
      <c r="C61"/>
    </row>
    <row r="62" spans="3:3" x14ac:dyDescent="0.25">
      <c r="C62"/>
    </row>
    <row r="63" spans="3:3" x14ac:dyDescent="0.25">
      <c r="C63"/>
    </row>
    <row r="64" spans="3:3" x14ac:dyDescent="0.25">
      <c r="C64"/>
    </row>
    <row r="65" spans="3:3" x14ac:dyDescent="0.25">
      <c r="C65"/>
    </row>
    <row r="66" spans="3:3" x14ac:dyDescent="0.25">
      <c r="C66"/>
    </row>
    <row r="67" spans="3:3" x14ac:dyDescent="0.25">
      <c r="C67"/>
    </row>
    <row r="68" spans="3:3" x14ac:dyDescent="0.25">
      <c r="C68"/>
    </row>
    <row r="69" spans="3:3" x14ac:dyDescent="0.25">
      <c r="C69"/>
    </row>
    <row r="70" spans="3:3" x14ac:dyDescent="0.25">
      <c r="C70"/>
    </row>
    <row r="71" spans="3:3" x14ac:dyDescent="0.25">
      <c r="C71"/>
    </row>
    <row r="72" spans="3:3" x14ac:dyDescent="0.25">
      <c r="C72"/>
    </row>
    <row r="73" spans="3:3" x14ac:dyDescent="0.25">
      <c r="C73"/>
    </row>
    <row r="74" spans="3:3" x14ac:dyDescent="0.25">
      <c r="C74"/>
    </row>
    <row r="75" spans="3:3" x14ac:dyDescent="0.25">
      <c r="C75"/>
    </row>
    <row r="76" spans="3:3" x14ac:dyDescent="0.25">
      <c r="C76"/>
    </row>
    <row r="77" spans="3:3" x14ac:dyDescent="0.25">
      <c r="C77"/>
    </row>
    <row r="78" spans="3:3" x14ac:dyDescent="0.25">
      <c r="C78"/>
    </row>
    <row r="79" spans="3:3" x14ac:dyDescent="0.25">
      <c r="C79"/>
    </row>
    <row r="80" spans="3:3" x14ac:dyDescent="0.25">
      <c r="C80"/>
    </row>
    <row r="81" spans="3:3" x14ac:dyDescent="0.25">
      <c r="C81"/>
    </row>
    <row r="82" spans="3:3" x14ac:dyDescent="0.25">
      <c r="C82"/>
    </row>
    <row r="83" spans="3:3" x14ac:dyDescent="0.25">
      <c r="C83"/>
    </row>
    <row r="84" spans="3:3" x14ac:dyDescent="0.25">
      <c r="C84"/>
    </row>
    <row r="85" spans="3:3" x14ac:dyDescent="0.25">
      <c r="C85"/>
    </row>
    <row r="86" spans="3:3" x14ac:dyDescent="0.25">
      <c r="C86"/>
    </row>
    <row r="87" spans="3:3" x14ac:dyDescent="0.25">
      <c r="C87"/>
    </row>
    <row r="88" spans="3:3" x14ac:dyDescent="0.25">
      <c r="C88"/>
    </row>
    <row r="89" spans="3:3" x14ac:dyDescent="0.25">
      <c r="C89"/>
    </row>
    <row r="90" spans="3:3" x14ac:dyDescent="0.25">
      <c r="C90"/>
    </row>
    <row r="91" spans="3:3" x14ac:dyDescent="0.25">
      <c r="C91"/>
    </row>
    <row r="92" spans="3:3" x14ac:dyDescent="0.25">
      <c r="C92"/>
    </row>
    <row r="93" spans="3:3" x14ac:dyDescent="0.25">
      <c r="C93"/>
    </row>
    <row r="94" spans="3:3" x14ac:dyDescent="0.25">
      <c r="C94"/>
    </row>
    <row r="95" spans="3:3" x14ac:dyDescent="0.25">
      <c r="C95"/>
    </row>
    <row r="96" spans="3:3" x14ac:dyDescent="0.25">
      <c r="C96"/>
    </row>
    <row r="97" spans="3:3" x14ac:dyDescent="0.25">
      <c r="C97"/>
    </row>
    <row r="98" spans="3:3" x14ac:dyDescent="0.25">
      <c r="C98"/>
    </row>
    <row r="99" spans="3:3" x14ac:dyDescent="0.25">
      <c r="C99"/>
    </row>
    <row r="100" spans="3:3" x14ac:dyDescent="0.25">
      <c r="C100"/>
    </row>
    <row r="101" spans="3:3" x14ac:dyDescent="0.25">
      <c r="C101"/>
    </row>
    <row r="102" spans="3:3" x14ac:dyDescent="0.25">
      <c r="C102"/>
    </row>
    <row r="103" spans="3:3" x14ac:dyDescent="0.25">
      <c r="C103"/>
    </row>
    <row r="104" spans="3:3" x14ac:dyDescent="0.25">
      <c r="C104"/>
    </row>
    <row r="105" spans="3:3" x14ac:dyDescent="0.25">
      <c r="C105"/>
    </row>
    <row r="106" spans="3:3" x14ac:dyDescent="0.25">
      <c r="C106"/>
    </row>
    <row r="107" spans="3:3" x14ac:dyDescent="0.25">
      <c r="C107"/>
    </row>
    <row r="108" spans="3:3" x14ac:dyDescent="0.25">
      <c r="C108"/>
    </row>
    <row r="109" spans="3:3" x14ac:dyDescent="0.25">
      <c r="C109"/>
    </row>
    <row r="110" spans="3:3" x14ac:dyDescent="0.25">
      <c r="C110"/>
    </row>
    <row r="111" spans="3:3" x14ac:dyDescent="0.25">
      <c r="C111"/>
    </row>
    <row r="112" spans="3:3" x14ac:dyDescent="0.25">
      <c r="C112"/>
    </row>
    <row r="113" spans="3:3" x14ac:dyDescent="0.25">
      <c r="C113"/>
    </row>
    <row r="114" spans="3:3" x14ac:dyDescent="0.25">
      <c r="C114"/>
    </row>
    <row r="115" spans="3:3" x14ac:dyDescent="0.25">
      <c r="C115"/>
    </row>
    <row r="116" spans="3:3" x14ac:dyDescent="0.25">
      <c r="C116"/>
    </row>
    <row r="117" spans="3:3" x14ac:dyDescent="0.25">
      <c r="C117"/>
    </row>
    <row r="118" spans="3:3" x14ac:dyDescent="0.25">
      <c r="C118"/>
    </row>
    <row r="119" spans="3:3" x14ac:dyDescent="0.25">
      <c r="C119"/>
    </row>
    <row r="120" spans="3:3" x14ac:dyDescent="0.25">
      <c r="C120"/>
    </row>
    <row r="121" spans="3:3" x14ac:dyDescent="0.25">
      <c r="C121"/>
    </row>
    <row r="122" spans="3:3" x14ac:dyDescent="0.25">
      <c r="C122"/>
    </row>
    <row r="123" spans="3:3" x14ac:dyDescent="0.25">
      <c r="C123"/>
    </row>
    <row r="124" spans="3:3" x14ac:dyDescent="0.25">
      <c r="C124"/>
    </row>
    <row r="125" spans="3:3" x14ac:dyDescent="0.25">
      <c r="C125"/>
    </row>
    <row r="126" spans="3:3" x14ac:dyDescent="0.25">
      <c r="C126"/>
    </row>
    <row r="127" spans="3:3" x14ac:dyDescent="0.25">
      <c r="C127"/>
    </row>
    <row r="128" spans="3:3" x14ac:dyDescent="0.25">
      <c r="C128"/>
    </row>
    <row r="129" spans="3:3" x14ac:dyDescent="0.25">
      <c r="C129"/>
    </row>
    <row r="130" spans="3:3" x14ac:dyDescent="0.25">
      <c r="C130"/>
    </row>
    <row r="131" spans="3:3" x14ac:dyDescent="0.25">
      <c r="C131"/>
    </row>
    <row r="132" spans="3:3" x14ac:dyDescent="0.25">
      <c r="C132"/>
    </row>
    <row r="133" spans="3:3" x14ac:dyDescent="0.25">
      <c r="C133"/>
    </row>
    <row r="134" spans="3:3" x14ac:dyDescent="0.25">
      <c r="C134"/>
    </row>
    <row r="135" spans="3:3" x14ac:dyDescent="0.25">
      <c r="C135"/>
    </row>
    <row r="136" spans="3:3" x14ac:dyDescent="0.25">
      <c r="C136"/>
    </row>
    <row r="137" spans="3:3" x14ac:dyDescent="0.25">
      <c r="C137"/>
    </row>
    <row r="138" spans="3:3" x14ac:dyDescent="0.25">
      <c r="C138"/>
    </row>
    <row r="139" spans="3:3" x14ac:dyDescent="0.25">
      <c r="C139"/>
    </row>
    <row r="140" spans="3:3" x14ac:dyDescent="0.25">
      <c r="C140"/>
    </row>
    <row r="141" spans="3:3" x14ac:dyDescent="0.25">
      <c r="C141"/>
    </row>
    <row r="142" spans="3:3" x14ac:dyDescent="0.25">
      <c r="C142"/>
    </row>
    <row r="143" spans="3:3" x14ac:dyDescent="0.25">
      <c r="C143"/>
    </row>
    <row r="144" spans="3:3" x14ac:dyDescent="0.25">
      <c r="C144"/>
    </row>
    <row r="145" spans="3:3" x14ac:dyDescent="0.25">
      <c r="C145"/>
    </row>
    <row r="146" spans="3:3" x14ac:dyDescent="0.25">
      <c r="C146"/>
    </row>
    <row r="147" spans="3:3" x14ac:dyDescent="0.25">
      <c r="C147"/>
    </row>
    <row r="148" spans="3:3" x14ac:dyDescent="0.25">
      <c r="C148"/>
    </row>
    <row r="149" spans="3:3" x14ac:dyDescent="0.25">
      <c r="C149"/>
    </row>
    <row r="150" spans="3:3" x14ac:dyDescent="0.25">
      <c r="C150"/>
    </row>
    <row r="151" spans="3:3" x14ac:dyDescent="0.25">
      <c r="C151"/>
    </row>
    <row r="152" spans="3:3" x14ac:dyDescent="0.25">
      <c r="C152"/>
    </row>
  </sheetData>
  <sheetProtection algorithmName="SHA-512" hashValue="LONtnA5n/MpfTfIuKf+J+ZPJLcaPi9kqE5p3hhAfS0P+vAoh3AMsx+B96xx4AYXpga7Pdt1RdidBlcLG2kiehA==" saltValue="EYnpj8D3Vui6TxIszG1jzA==" spinCount="100000" sheet="1" selectLockedCells="1"/>
  <mergeCells count="1">
    <mergeCell ref="D3:E3"/>
  </mergeCells>
  <dataValidations disablePrompts="1" count="1">
    <dataValidation type="list" allowBlank="1" showInputMessage="1" showErrorMessage="1" sqref="F9" xr:uid="{AF69FD1E-E9F6-44CE-8D96-40E83531F99D}">
      <formula1>"91,93"</formula1>
    </dataValidation>
  </dataValidations>
  <pageMargins left="0.7" right="0.7" top="0.75" bottom="0.75" header="0.3" footer="0.3"/>
  <pageSetup orientation="portrait" horizontalDpi="1200" verticalDpi="1200" r:id="rId1"/>
  <headerFooter>
    <oddHeader>&amp;LFile: &amp;F</oddHead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43"/>
  <sheetViews>
    <sheetView showGridLines="0" zoomScaleNormal="100" workbookViewId="0"/>
  </sheetViews>
  <sheetFormatPr defaultColWidth="9.140625" defaultRowHeight="15" x14ac:dyDescent="0.25"/>
  <cols>
    <col min="1" max="1" width="1.7109375" customWidth="1"/>
    <col min="2" max="2" width="4.5703125" style="1" customWidth="1"/>
    <col min="3" max="3" width="6.7109375" style="1" customWidth="1"/>
    <col min="4" max="4" width="19.7109375" customWidth="1"/>
    <col min="11" max="11" width="4.5703125" customWidth="1"/>
  </cols>
  <sheetData>
    <row r="1" spans="2:16" x14ac:dyDescent="0.25">
      <c r="B1" s="271" t="s">
        <v>318</v>
      </c>
      <c r="K1" s="271" t="s">
        <v>318</v>
      </c>
    </row>
    <row r="2" spans="2:16" x14ac:dyDescent="0.25">
      <c r="B2" s="1">
        <v>1</v>
      </c>
      <c r="C2" s="45" t="s">
        <v>319</v>
      </c>
      <c r="K2" s="1">
        <v>5</v>
      </c>
      <c r="L2" s="45" t="s">
        <v>410</v>
      </c>
    </row>
    <row r="3" spans="2:16" x14ac:dyDescent="0.25">
      <c r="B3" s="69"/>
      <c r="D3" t="s">
        <v>320</v>
      </c>
      <c r="E3" s="294" t="str">
        <f>'ENV|In'!M22</f>
        <v>II</v>
      </c>
    </row>
    <row r="4" spans="2:16" x14ac:dyDescent="0.25">
      <c r="B4" s="1">
        <v>2</v>
      </c>
      <c r="C4" s="45" t="s">
        <v>321</v>
      </c>
      <c r="L4" s="141" t="s">
        <v>411</v>
      </c>
    </row>
    <row r="5" spans="2:16" x14ac:dyDescent="0.25">
      <c r="B5" s="55"/>
      <c r="D5" t="s">
        <v>322</v>
      </c>
      <c r="E5" s="41">
        <f>'ENV|In'!G8</f>
        <v>0</v>
      </c>
      <c r="F5" t="s">
        <v>204</v>
      </c>
      <c r="M5" s="3" t="s">
        <v>546</v>
      </c>
      <c r="N5" s="201" t="s">
        <v>536</v>
      </c>
    </row>
    <row r="6" spans="2:16" x14ac:dyDescent="0.25">
      <c r="B6" s="55"/>
      <c r="D6" t="s">
        <v>595</v>
      </c>
      <c r="E6" s="10">
        <f>'ENV|In'!G9</f>
        <v>0</v>
      </c>
      <c r="F6" t="s">
        <v>204</v>
      </c>
      <c r="M6" s="219" t="s">
        <v>539</v>
      </c>
      <c r="N6" s="202" t="s">
        <v>538</v>
      </c>
    </row>
    <row r="7" spans="2:16" x14ac:dyDescent="0.25">
      <c r="D7" t="s">
        <v>596</v>
      </c>
      <c r="E7" s="10">
        <f>'ENV|In'!G10</f>
        <v>0</v>
      </c>
      <c r="F7" t="s">
        <v>204</v>
      </c>
      <c r="M7" s="219" t="s">
        <v>540</v>
      </c>
      <c r="N7" s="202" t="s">
        <v>537</v>
      </c>
    </row>
    <row r="8" spans="2:16" x14ac:dyDescent="0.25">
      <c r="D8" t="s">
        <v>535</v>
      </c>
      <c r="E8" s="10" t="str">
        <f>'ENV|In'!G11</f>
        <v>Self-Wt</v>
      </c>
      <c r="F8" t="s">
        <v>204</v>
      </c>
      <c r="M8" s="219" t="s">
        <v>598</v>
      </c>
      <c r="N8" s="202" t="s">
        <v>541</v>
      </c>
    </row>
    <row r="9" spans="2:16" x14ac:dyDescent="0.25">
      <c r="B9" s="1">
        <v>3</v>
      </c>
      <c r="C9" s="45" t="s">
        <v>323</v>
      </c>
      <c r="O9" s="1" t="s">
        <v>527</v>
      </c>
      <c r="P9" s="1" t="s">
        <v>526</v>
      </c>
    </row>
    <row r="10" spans="2:16" ht="18" x14ac:dyDescent="0.25">
      <c r="B10" s="55"/>
      <c r="C10" s="1" t="s">
        <v>324</v>
      </c>
      <c r="D10" t="s">
        <v>296</v>
      </c>
      <c r="E10" s="41">
        <f>'ENV|In'!H8</f>
        <v>0</v>
      </c>
      <c r="F10" t="s">
        <v>325</v>
      </c>
      <c r="O10" s="1" t="s">
        <v>160</v>
      </c>
      <c r="P10" s="1" t="s">
        <v>160</v>
      </c>
    </row>
    <row r="11" spans="2:16" x14ac:dyDescent="0.25">
      <c r="C11" s="1" t="s">
        <v>529</v>
      </c>
      <c r="D11" t="s">
        <v>530</v>
      </c>
      <c r="E11" s="10">
        <f>'ENV|In'!H11</f>
        <v>100</v>
      </c>
      <c r="F11" t="s">
        <v>204</v>
      </c>
      <c r="L11" t="s">
        <v>542</v>
      </c>
      <c r="O11" s="199">
        <v>48.56</v>
      </c>
      <c r="P11" s="199">
        <v>29.43</v>
      </c>
    </row>
    <row r="12" spans="2:16" x14ac:dyDescent="0.25">
      <c r="B12" s="1">
        <v>4</v>
      </c>
      <c r="C12" s="45" t="s">
        <v>135</v>
      </c>
      <c r="L12" t="s">
        <v>543</v>
      </c>
      <c r="O12" s="199">
        <v>10.89</v>
      </c>
      <c r="P12" s="199">
        <v>44.74</v>
      </c>
    </row>
    <row r="13" spans="2:16" ht="18" x14ac:dyDescent="0.25">
      <c r="B13" s="55"/>
      <c r="C13" s="1" t="s">
        <v>39</v>
      </c>
      <c r="D13" t="s">
        <v>326</v>
      </c>
      <c r="E13" s="295">
        <f>'ENV|In'!M23</f>
        <v>1</v>
      </c>
      <c r="L13" t="s">
        <v>544</v>
      </c>
      <c r="O13" s="199"/>
      <c r="P13" s="199"/>
    </row>
    <row r="14" spans="2:16" x14ac:dyDescent="0.25">
      <c r="B14" s="55"/>
      <c r="D14" t="s">
        <v>327</v>
      </c>
      <c r="E14" s="296" t="str">
        <f>'ENV|In'!M24</f>
        <v>D</v>
      </c>
    </row>
    <row r="15" spans="2:16" ht="18" x14ac:dyDescent="0.25">
      <c r="B15" s="55"/>
      <c r="C15" s="1" t="s">
        <v>328</v>
      </c>
      <c r="E15" s="297">
        <f>'ENV|In'!M25</f>
        <v>5.2999999999999999E-2</v>
      </c>
      <c r="F15" t="s">
        <v>8</v>
      </c>
      <c r="O15" s="314" t="s">
        <v>545</v>
      </c>
      <c r="P15" s="314"/>
    </row>
    <row r="16" spans="2:16" ht="18" x14ac:dyDescent="0.25">
      <c r="B16" s="55"/>
      <c r="C16" s="1" t="s">
        <v>7</v>
      </c>
      <c r="E16" s="297">
        <f>'ENV|In'!M26</f>
        <v>3.5999999999999997E-2</v>
      </c>
      <c r="F16" t="s">
        <v>8</v>
      </c>
      <c r="L16" t="s">
        <v>414</v>
      </c>
      <c r="O16" s="143">
        <v>63</v>
      </c>
      <c r="P16" t="s">
        <v>204</v>
      </c>
    </row>
    <row r="17" spans="2:16" ht="18" x14ac:dyDescent="0.25">
      <c r="B17" s="55"/>
      <c r="C17" s="1" t="s">
        <v>329</v>
      </c>
      <c r="E17" s="297">
        <f>'ENV|In'!M31</f>
        <v>5.6533333333333331E-2</v>
      </c>
      <c r="F17" t="s">
        <v>8</v>
      </c>
      <c r="L17" t="s">
        <v>412</v>
      </c>
      <c r="O17" s="143"/>
      <c r="P17" t="s">
        <v>204</v>
      </c>
    </row>
    <row r="18" spans="2:16" ht="18" x14ac:dyDescent="0.25">
      <c r="B18" s="55"/>
      <c r="C18" s="1" t="s">
        <v>5</v>
      </c>
      <c r="E18" s="297">
        <f>'ENV|In'!M32</f>
        <v>5.7599999999999991E-2</v>
      </c>
      <c r="F18" t="s">
        <v>8</v>
      </c>
      <c r="L18" t="s">
        <v>413</v>
      </c>
      <c r="O18" s="143"/>
      <c r="P18" t="s">
        <v>204</v>
      </c>
    </row>
    <row r="19" spans="2:16" x14ac:dyDescent="0.25">
      <c r="B19" s="55"/>
      <c r="D19" t="s">
        <v>330</v>
      </c>
      <c r="E19" s="41" t="str">
        <f>'ENV|In'!E25</f>
        <v>All other self-supporting structures</v>
      </c>
    </row>
    <row r="20" spans="2:16" x14ac:dyDescent="0.25">
      <c r="B20" s="55"/>
      <c r="C20" s="1" t="s">
        <v>60</v>
      </c>
      <c r="D20" t="s">
        <v>377</v>
      </c>
      <c r="E20" s="295">
        <f>'ENV|In'!M33</f>
        <v>1.25</v>
      </c>
      <c r="L20" s="141" t="s">
        <v>340</v>
      </c>
      <c r="N20" s="272"/>
    </row>
    <row r="21" spans="2:16" ht="18" x14ac:dyDescent="0.25">
      <c r="B21" s="55"/>
      <c r="C21" s="215" t="s">
        <v>331</v>
      </c>
      <c r="D21" t="s">
        <v>332</v>
      </c>
      <c r="E21" s="298">
        <f>'ENV|In'!M34</f>
        <v>2</v>
      </c>
      <c r="M21" s="219" t="str">
        <f>M5</f>
        <v xml:space="preserve">ASCE 7-10: </v>
      </c>
      <c r="N21" s="201" t="s">
        <v>616</v>
      </c>
    </row>
    <row r="22" spans="2:16" x14ac:dyDescent="0.25">
      <c r="B22" s="55"/>
      <c r="C22" s="1" t="s">
        <v>107</v>
      </c>
      <c r="D22" t="s">
        <v>333</v>
      </c>
      <c r="E22" s="296" t="str">
        <f>'ENV|In'!M45</f>
        <v>A</v>
      </c>
      <c r="N22" s="1" t="s">
        <v>612</v>
      </c>
      <c r="O22" s="1" t="s">
        <v>610</v>
      </c>
    </row>
    <row r="23" spans="2:16" ht="18" x14ac:dyDescent="0.25">
      <c r="B23" s="55"/>
      <c r="C23" s="215" t="s">
        <v>111</v>
      </c>
      <c r="D23" t="s">
        <v>402</v>
      </c>
      <c r="E23" s="299">
        <f>'ENV|In'!M47</f>
        <v>1</v>
      </c>
      <c r="M23" s="3" t="s">
        <v>547</v>
      </c>
      <c r="N23" s="202" t="s">
        <v>617</v>
      </c>
      <c r="O23" s="293" t="s">
        <v>611</v>
      </c>
    </row>
    <row r="24" spans="2:16" ht="18" x14ac:dyDescent="0.25">
      <c r="B24" s="55"/>
      <c r="C24" s="1" t="s">
        <v>117</v>
      </c>
      <c r="D24" t="s">
        <v>334</v>
      </c>
      <c r="E24" s="300">
        <f>'ENV|In'!M48</f>
        <v>4.5226666666666665E-2</v>
      </c>
      <c r="M24" s="3" t="s">
        <v>547</v>
      </c>
      <c r="N24" s="202" t="s">
        <v>421</v>
      </c>
      <c r="O24" s="200"/>
    </row>
    <row r="25" spans="2:16" ht="18" x14ac:dyDescent="0.25">
      <c r="B25" s="1">
        <v>5</v>
      </c>
      <c r="C25" s="45" t="s">
        <v>139</v>
      </c>
      <c r="M25" s="219" t="s">
        <v>533</v>
      </c>
      <c r="N25" s="273">
        <f>'ENV|In'!M18</f>
        <v>4.7636416907261774</v>
      </c>
      <c r="O25" s="292">
        <f>12*'ENV|In'!M14/'ENV|In'!M15</f>
        <v>1</v>
      </c>
      <c r="P25" t="s">
        <v>609</v>
      </c>
    </row>
    <row r="26" spans="2:16" ht="18" x14ac:dyDescent="0.25">
      <c r="C26" s="1" t="s">
        <v>38</v>
      </c>
      <c r="D26" t="s">
        <v>326</v>
      </c>
      <c r="E26" s="301">
        <f>'ENV|In'!M67</f>
        <v>1</v>
      </c>
      <c r="M26" s="219" t="s">
        <v>532</v>
      </c>
      <c r="N26" s="274">
        <f>'ENV|In'!M77</f>
        <v>0.30000000000000004</v>
      </c>
    </row>
    <row r="27" spans="2:16" x14ac:dyDescent="0.25">
      <c r="C27" s="1" t="s">
        <v>140</v>
      </c>
      <c r="D27" t="s">
        <v>335</v>
      </c>
      <c r="E27" s="302">
        <f>'ENV|In'!M66</f>
        <v>115</v>
      </c>
      <c r="F27" t="s">
        <v>146</v>
      </c>
    </row>
    <row r="28" spans="2:16" x14ac:dyDescent="0.25">
      <c r="C28" s="1" t="s">
        <v>167</v>
      </c>
      <c r="D28" t="s">
        <v>336</v>
      </c>
      <c r="E28" s="296" t="str">
        <f>'ENV|In'!M74</f>
        <v>C</v>
      </c>
      <c r="L28" s="1" t="s">
        <v>531</v>
      </c>
      <c r="M28" s="1" t="s">
        <v>526</v>
      </c>
      <c r="N28" s="1" t="s">
        <v>527</v>
      </c>
    </row>
    <row r="29" spans="2:16" x14ac:dyDescent="0.25">
      <c r="D29" t="s">
        <v>337</v>
      </c>
      <c r="E29" s="296" t="str">
        <f>'ENV|In'!M75</f>
        <v>Open</v>
      </c>
      <c r="L29" s="1"/>
      <c r="M29" s="1" t="s">
        <v>160</v>
      </c>
      <c r="N29" s="1" t="s">
        <v>160</v>
      </c>
    </row>
    <row r="30" spans="2:16" ht="18" x14ac:dyDescent="0.25">
      <c r="C30" s="1" t="s">
        <v>145</v>
      </c>
      <c r="D30" t="s">
        <v>338</v>
      </c>
      <c r="E30" s="298">
        <f>'ENV|In'!M73</f>
        <v>1</v>
      </c>
      <c r="L30" s="200">
        <v>1</v>
      </c>
      <c r="M30" s="199">
        <v>48.54</v>
      </c>
      <c r="N30" s="199">
        <v>-44.84</v>
      </c>
    </row>
    <row r="31" spans="2:16" ht="18" x14ac:dyDescent="0.25">
      <c r="C31" s="1" t="s">
        <v>364</v>
      </c>
      <c r="D31" t="s">
        <v>339</v>
      </c>
      <c r="E31" s="298">
        <f>'ENV|In'!M78</f>
        <v>10</v>
      </c>
      <c r="F31" t="s">
        <v>87</v>
      </c>
      <c r="L31" s="200">
        <v>2</v>
      </c>
      <c r="M31" s="199">
        <v>72.819999999999993</v>
      </c>
      <c r="N31" s="199">
        <v>-67.62</v>
      </c>
    </row>
    <row r="32" spans="2:16" x14ac:dyDescent="0.25">
      <c r="C32" s="1" t="s">
        <v>450</v>
      </c>
      <c r="D32" t="s">
        <v>453</v>
      </c>
      <c r="E32" s="263" t="str">
        <f>'ENV|In'!M79</f>
        <v>YES</v>
      </c>
      <c r="L32" s="200">
        <v>3</v>
      </c>
      <c r="M32" s="199">
        <v>97.09</v>
      </c>
      <c r="N32" s="199">
        <v>-120.71</v>
      </c>
    </row>
    <row r="33" spans="2:14" x14ac:dyDescent="0.25">
      <c r="B33" s="1">
        <v>6</v>
      </c>
      <c r="C33" s="45" t="s">
        <v>164</v>
      </c>
      <c r="L33" s="200"/>
      <c r="M33" s="199"/>
      <c r="N33" s="199"/>
    </row>
    <row r="34" spans="2:14" ht="18" x14ac:dyDescent="0.25">
      <c r="C34" s="1" t="s">
        <v>36</v>
      </c>
      <c r="D34" t="s">
        <v>326</v>
      </c>
      <c r="E34" s="295">
        <f>'ENV|In'!M93</f>
        <v>1</v>
      </c>
      <c r="L34" s="200"/>
      <c r="M34" s="199"/>
      <c r="N34" s="199"/>
    </row>
    <row r="35" spans="2:14" ht="18" x14ac:dyDescent="0.25">
      <c r="C35" s="1" t="s">
        <v>201</v>
      </c>
      <c r="D35" t="s">
        <v>341</v>
      </c>
      <c r="E35" s="298">
        <f>'ENV|In'!M89</f>
        <v>0.9</v>
      </c>
      <c r="L35" s="200"/>
      <c r="M35" s="199"/>
      <c r="N35" s="199"/>
    </row>
    <row r="36" spans="2:14" ht="18" x14ac:dyDescent="0.25">
      <c r="C36" s="1" t="s">
        <v>71</v>
      </c>
      <c r="D36" t="s">
        <v>342</v>
      </c>
      <c r="E36" s="298">
        <f>'ENV|In'!M92</f>
        <v>1.2</v>
      </c>
      <c r="L36" s="200"/>
      <c r="M36" s="199"/>
      <c r="N36" s="199"/>
    </row>
    <row r="37" spans="2:14" ht="18" x14ac:dyDescent="0.25">
      <c r="C37" s="1" t="s">
        <v>200</v>
      </c>
      <c r="D37" t="s">
        <v>343</v>
      </c>
      <c r="E37" s="298">
        <f>'ENV|In'!M88</f>
        <v>40</v>
      </c>
      <c r="F37" t="s">
        <v>204</v>
      </c>
      <c r="L37" s="200"/>
      <c r="M37" s="199"/>
      <c r="N37" s="199"/>
    </row>
    <row r="38" spans="2:14" x14ac:dyDescent="0.25">
      <c r="D38" t="s">
        <v>408</v>
      </c>
      <c r="E38" s="298">
        <f>'ENV|In'!M98</f>
        <v>45</v>
      </c>
      <c r="F38" t="s">
        <v>383</v>
      </c>
      <c r="L38" s="200"/>
      <c r="M38" s="199"/>
      <c r="N38" s="199"/>
    </row>
    <row r="39" spans="2:14" x14ac:dyDescent="0.25">
      <c r="B39" s="1">
        <v>7</v>
      </c>
      <c r="C39" s="45" t="s">
        <v>378</v>
      </c>
    </row>
    <row r="40" spans="2:14" x14ac:dyDescent="0.25">
      <c r="C40" s="1" t="s">
        <v>379</v>
      </c>
      <c r="D40" t="s">
        <v>389</v>
      </c>
      <c r="E40" s="295">
        <f>'ENV|In'!M110</f>
        <v>3.31</v>
      </c>
      <c r="F40" t="s">
        <v>380</v>
      </c>
    </row>
    <row r="41" spans="2:14" ht="18" x14ac:dyDescent="0.25">
      <c r="C41" s="1" t="s">
        <v>382</v>
      </c>
      <c r="D41" t="s">
        <v>390</v>
      </c>
      <c r="E41" s="303">
        <f>'ENV|In'!M111</f>
        <v>0</v>
      </c>
      <c r="F41" t="s">
        <v>383</v>
      </c>
    </row>
    <row r="42" spans="2:14" x14ac:dyDescent="0.25">
      <c r="B42" s="1">
        <v>8</v>
      </c>
      <c r="C42" s="45" t="s">
        <v>404</v>
      </c>
      <c r="E42" s="37"/>
    </row>
    <row r="43" spans="2:14" ht="18" x14ac:dyDescent="0.25">
      <c r="C43" s="1" t="s">
        <v>405</v>
      </c>
      <c r="D43" t="s">
        <v>407</v>
      </c>
      <c r="E43" s="304">
        <f>'ENV|In'!M132/1000</f>
        <v>1.5</v>
      </c>
      <c r="F43" t="s">
        <v>406</v>
      </c>
    </row>
  </sheetData>
  <sheetProtection selectLockedCells="1"/>
  <mergeCells count="1">
    <mergeCell ref="O15:P15"/>
  </mergeCells>
  <dataValidations count="6">
    <dataValidation type="list" allowBlank="1" showInputMessage="1" showErrorMessage="1" sqref="N8" xr:uid="{D5CA6FC7-AD1E-481D-B416-8032189B3AEF}">
      <formula1>"LRFD,ASD"</formula1>
    </dataValidation>
    <dataValidation type="list" allowBlank="1" showInputMessage="1" showErrorMessage="1" sqref="N7" xr:uid="{1F239CD6-DED6-49B4-985E-11695B833F06}">
      <formula1>"Positive,Negative"</formula1>
    </dataValidation>
    <dataValidation type="list" allowBlank="1" showInputMessage="1" showErrorMessage="1" sqref="N6" xr:uid="{F594CA30-77F7-44D2-B0B6-686FCEE07E90}">
      <formula1>"Normal to ridge,Paralell to ridge"</formula1>
    </dataValidation>
    <dataValidation type="list" allowBlank="1" showInputMessage="1" showErrorMessage="1" sqref="M5" xr:uid="{A7364B17-E726-4944-9E32-A80E20714A43}">
      <formula1>"ASCE 7-10: ,FBC 2017: "</formula1>
    </dataValidation>
    <dataValidation type="list" allowBlank="1" showInputMessage="1" showErrorMessage="1" sqref="N23:N24" xr:uid="{7D45596D-3E7C-46E8-88B4-226DA31333D1}">
      <formula1>"N/A,30.4-1,30.4-2A,30.4-2B,30.4-2C,30.4-330.4-4,30.4-5A,30.4-5B,30.4-6,30.4-7,30.5-1,30.6-1,30.7-1,30.7-2,30.8-1,30.8-2,30.8-3,30.9-1,30.10-1"</formula1>
    </dataValidation>
    <dataValidation type="list" allowBlank="1" showInputMessage="1" showErrorMessage="1" sqref="M23:M24" xr:uid="{610513C1-5E9C-482C-8263-A3A2A85D2E2F}">
      <formula1>"Table: ,Figure: "</formula1>
    </dataValidation>
  </dataValidations>
  <pageMargins left="0.7" right="0.7" top="0.75" bottom="0.75" header="0.3" footer="0.3"/>
  <pageSetup orientation="portrait" horizontalDpi="1200" verticalDpi="1200" r:id="rId1"/>
  <headerFooter>
    <oddHeader>&amp;LFile: &amp;F</oddHeader>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8"/>
  <sheetViews>
    <sheetView showGridLines="0" zoomScaleNormal="100" workbookViewId="0">
      <selection activeCell="C3" sqref="C3"/>
    </sheetView>
  </sheetViews>
  <sheetFormatPr defaultRowHeight="15" x14ac:dyDescent="0.25"/>
  <cols>
    <col min="1" max="1" width="3.7109375" customWidth="1"/>
    <col min="2" max="2" width="25.7109375" customWidth="1"/>
    <col min="3" max="3" width="4.7109375" customWidth="1"/>
    <col min="4" max="4" width="6.7109375" customWidth="1"/>
    <col min="6" max="6" width="3.7109375" customWidth="1"/>
    <col min="7" max="7" width="25.7109375" customWidth="1"/>
    <col min="257" max="257" width="3.7109375" customWidth="1"/>
    <col min="258" max="258" width="25.7109375" customWidth="1"/>
    <col min="259" max="259" width="4.7109375" customWidth="1"/>
    <col min="260" max="260" width="6.7109375" customWidth="1"/>
    <col min="262" max="262" width="3.7109375" customWidth="1"/>
    <col min="263" max="263" width="25.7109375" customWidth="1"/>
    <col min="513" max="513" width="3.7109375" customWidth="1"/>
    <col min="514" max="514" width="25.7109375" customWidth="1"/>
    <col min="515" max="515" width="4.7109375" customWidth="1"/>
    <col min="516" max="516" width="6.7109375" customWidth="1"/>
    <col min="518" max="518" width="3.7109375" customWidth="1"/>
    <col min="519" max="519" width="25.7109375" customWidth="1"/>
    <col min="769" max="769" width="3.7109375" customWidth="1"/>
    <col min="770" max="770" width="25.7109375" customWidth="1"/>
    <col min="771" max="771" width="4.7109375" customWidth="1"/>
    <col min="772" max="772" width="6.7109375" customWidth="1"/>
    <col min="774" max="774" width="3.7109375" customWidth="1"/>
    <col min="775" max="775" width="25.7109375" customWidth="1"/>
    <col min="1025" max="1025" width="3.7109375" customWidth="1"/>
    <col min="1026" max="1026" width="25.7109375" customWidth="1"/>
    <col min="1027" max="1027" width="4.7109375" customWidth="1"/>
    <col min="1028" max="1028" width="6.7109375" customWidth="1"/>
    <col min="1030" max="1030" width="3.7109375" customWidth="1"/>
    <col min="1031" max="1031" width="25.7109375" customWidth="1"/>
    <col min="1281" max="1281" width="3.7109375" customWidth="1"/>
    <col min="1282" max="1282" width="25.7109375" customWidth="1"/>
    <col min="1283" max="1283" width="4.7109375" customWidth="1"/>
    <col min="1284" max="1284" width="6.7109375" customWidth="1"/>
    <col min="1286" max="1286" width="3.7109375" customWidth="1"/>
    <col min="1287" max="1287" width="25.7109375" customWidth="1"/>
    <col min="1537" max="1537" width="3.7109375" customWidth="1"/>
    <col min="1538" max="1538" width="25.7109375" customWidth="1"/>
    <col min="1539" max="1539" width="4.7109375" customWidth="1"/>
    <col min="1540" max="1540" width="6.7109375" customWidth="1"/>
    <col min="1542" max="1542" width="3.7109375" customWidth="1"/>
    <col min="1543" max="1543" width="25.7109375" customWidth="1"/>
    <col min="1793" max="1793" width="3.7109375" customWidth="1"/>
    <col min="1794" max="1794" width="25.7109375" customWidth="1"/>
    <col min="1795" max="1795" width="4.7109375" customWidth="1"/>
    <col min="1796" max="1796" width="6.7109375" customWidth="1"/>
    <col min="1798" max="1798" width="3.7109375" customWidth="1"/>
    <col min="1799" max="1799" width="25.7109375" customWidth="1"/>
    <col min="2049" max="2049" width="3.7109375" customWidth="1"/>
    <col min="2050" max="2050" width="25.7109375" customWidth="1"/>
    <col min="2051" max="2051" width="4.7109375" customWidth="1"/>
    <col min="2052" max="2052" width="6.7109375" customWidth="1"/>
    <col min="2054" max="2054" width="3.7109375" customWidth="1"/>
    <col min="2055" max="2055" width="25.7109375" customWidth="1"/>
    <col min="2305" max="2305" width="3.7109375" customWidth="1"/>
    <col min="2306" max="2306" width="25.7109375" customWidth="1"/>
    <col min="2307" max="2307" width="4.7109375" customWidth="1"/>
    <col min="2308" max="2308" width="6.7109375" customWidth="1"/>
    <col min="2310" max="2310" width="3.7109375" customWidth="1"/>
    <col min="2311" max="2311" width="25.7109375" customWidth="1"/>
    <col min="2561" max="2561" width="3.7109375" customWidth="1"/>
    <col min="2562" max="2562" width="25.7109375" customWidth="1"/>
    <col min="2563" max="2563" width="4.7109375" customWidth="1"/>
    <col min="2564" max="2564" width="6.7109375" customWidth="1"/>
    <col min="2566" max="2566" width="3.7109375" customWidth="1"/>
    <col min="2567" max="2567" width="25.7109375" customWidth="1"/>
    <col min="2817" max="2817" width="3.7109375" customWidth="1"/>
    <col min="2818" max="2818" width="25.7109375" customWidth="1"/>
    <col min="2819" max="2819" width="4.7109375" customWidth="1"/>
    <col min="2820" max="2820" width="6.7109375" customWidth="1"/>
    <col min="2822" max="2822" width="3.7109375" customWidth="1"/>
    <col min="2823" max="2823" width="25.7109375" customWidth="1"/>
    <col min="3073" max="3073" width="3.7109375" customWidth="1"/>
    <col min="3074" max="3074" width="25.7109375" customWidth="1"/>
    <col min="3075" max="3075" width="4.7109375" customWidth="1"/>
    <col min="3076" max="3076" width="6.7109375" customWidth="1"/>
    <col min="3078" max="3078" width="3.7109375" customWidth="1"/>
    <col min="3079" max="3079" width="25.7109375" customWidth="1"/>
    <col min="3329" max="3329" width="3.7109375" customWidth="1"/>
    <col min="3330" max="3330" width="25.7109375" customWidth="1"/>
    <col min="3331" max="3331" width="4.7109375" customWidth="1"/>
    <col min="3332" max="3332" width="6.7109375" customWidth="1"/>
    <col min="3334" max="3334" width="3.7109375" customWidth="1"/>
    <col min="3335" max="3335" width="25.7109375" customWidth="1"/>
    <col min="3585" max="3585" width="3.7109375" customWidth="1"/>
    <col min="3586" max="3586" width="25.7109375" customWidth="1"/>
    <col min="3587" max="3587" width="4.7109375" customWidth="1"/>
    <col min="3588" max="3588" width="6.7109375" customWidth="1"/>
    <col min="3590" max="3590" width="3.7109375" customWidth="1"/>
    <col min="3591" max="3591" width="25.7109375" customWidth="1"/>
    <col min="3841" max="3841" width="3.7109375" customWidth="1"/>
    <col min="3842" max="3842" width="25.7109375" customWidth="1"/>
    <col min="3843" max="3843" width="4.7109375" customWidth="1"/>
    <col min="3844" max="3844" width="6.7109375" customWidth="1"/>
    <col min="3846" max="3846" width="3.7109375" customWidth="1"/>
    <col min="3847" max="3847" width="25.7109375" customWidth="1"/>
    <col min="4097" max="4097" width="3.7109375" customWidth="1"/>
    <col min="4098" max="4098" width="25.7109375" customWidth="1"/>
    <col min="4099" max="4099" width="4.7109375" customWidth="1"/>
    <col min="4100" max="4100" width="6.7109375" customWidth="1"/>
    <col min="4102" max="4102" width="3.7109375" customWidth="1"/>
    <col min="4103" max="4103" width="25.7109375" customWidth="1"/>
    <col min="4353" max="4353" width="3.7109375" customWidth="1"/>
    <col min="4354" max="4354" width="25.7109375" customWidth="1"/>
    <col min="4355" max="4355" width="4.7109375" customWidth="1"/>
    <col min="4356" max="4356" width="6.7109375" customWidth="1"/>
    <col min="4358" max="4358" width="3.7109375" customWidth="1"/>
    <col min="4359" max="4359" width="25.7109375" customWidth="1"/>
    <col min="4609" max="4609" width="3.7109375" customWidth="1"/>
    <col min="4610" max="4610" width="25.7109375" customWidth="1"/>
    <col min="4611" max="4611" width="4.7109375" customWidth="1"/>
    <col min="4612" max="4612" width="6.7109375" customWidth="1"/>
    <col min="4614" max="4614" width="3.7109375" customWidth="1"/>
    <col min="4615" max="4615" width="25.7109375" customWidth="1"/>
    <col min="4865" max="4865" width="3.7109375" customWidth="1"/>
    <col min="4866" max="4866" width="25.7109375" customWidth="1"/>
    <col min="4867" max="4867" width="4.7109375" customWidth="1"/>
    <col min="4868" max="4868" width="6.7109375" customWidth="1"/>
    <col min="4870" max="4870" width="3.7109375" customWidth="1"/>
    <col min="4871" max="4871" width="25.7109375" customWidth="1"/>
    <col min="5121" max="5121" width="3.7109375" customWidth="1"/>
    <col min="5122" max="5122" width="25.7109375" customWidth="1"/>
    <col min="5123" max="5123" width="4.7109375" customWidth="1"/>
    <col min="5124" max="5124" width="6.7109375" customWidth="1"/>
    <col min="5126" max="5126" width="3.7109375" customWidth="1"/>
    <col min="5127" max="5127" width="25.7109375" customWidth="1"/>
    <col min="5377" max="5377" width="3.7109375" customWidth="1"/>
    <col min="5378" max="5378" width="25.7109375" customWidth="1"/>
    <col min="5379" max="5379" width="4.7109375" customWidth="1"/>
    <col min="5380" max="5380" width="6.7109375" customWidth="1"/>
    <col min="5382" max="5382" width="3.7109375" customWidth="1"/>
    <col min="5383" max="5383" width="25.7109375" customWidth="1"/>
    <col min="5633" max="5633" width="3.7109375" customWidth="1"/>
    <col min="5634" max="5634" width="25.7109375" customWidth="1"/>
    <col min="5635" max="5635" width="4.7109375" customWidth="1"/>
    <col min="5636" max="5636" width="6.7109375" customWidth="1"/>
    <col min="5638" max="5638" width="3.7109375" customWidth="1"/>
    <col min="5639" max="5639" width="25.7109375" customWidth="1"/>
    <col min="5889" max="5889" width="3.7109375" customWidth="1"/>
    <col min="5890" max="5890" width="25.7109375" customWidth="1"/>
    <col min="5891" max="5891" width="4.7109375" customWidth="1"/>
    <col min="5892" max="5892" width="6.7109375" customWidth="1"/>
    <col min="5894" max="5894" width="3.7109375" customWidth="1"/>
    <col min="5895" max="5895" width="25.7109375" customWidth="1"/>
    <col min="6145" max="6145" width="3.7109375" customWidth="1"/>
    <col min="6146" max="6146" width="25.7109375" customWidth="1"/>
    <col min="6147" max="6147" width="4.7109375" customWidth="1"/>
    <col min="6148" max="6148" width="6.7109375" customWidth="1"/>
    <col min="6150" max="6150" width="3.7109375" customWidth="1"/>
    <col min="6151" max="6151" width="25.7109375" customWidth="1"/>
    <col min="6401" max="6401" width="3.7109375" customWidth="1"/>
    <col min="6402" max="6402" width="25.7109375" customWidth="1"/>
    <col min="6403" max="6403" width="4.7109375" customWidth="1"/>
    <col min="6404" max="6404" width="6.7109375" customWidth="1"/>
    <col min="6406" max="6406" width="3.7109375" customWidth="1"/>
    <col min="6407" max="6407" width="25.7109375" customWidth="1"/>
    <col min="6657" max="6657" width="3.7109375" customWidth="1"/>
    <col min="6658" max="6658" width="25.7109375" customWidth="1"/>
    <col min="6659" max="6659" width="4.7109375" customWidth="1"/>
    <col min="6660" max="6660" width="6.7109375" customWidth="1"/>
    <col min="6662" max="6662" width="3.7109375" customWidth="1"/>
    <col min="6663" max="6663" width="25.7109375" customWidth="1"/>
    <col min="6913" max="6913" width="3.7109375" customWidth="1"/>
    <col min="6914" max="6914" width="25.7109375" customWidth="1"/>
    <col min="6915" max="6915" width="4.7109375" customWidth="1"/>
    <col min="6916" max="6916" width="6.7109375" customWidth="1"/>
    <col min="6918" max="6918" width="3.7109375" customWidth="1"/>
    <col min="6919" max="6919" width="25.7109375" customWidth="1"/>
    <col min="7169" max="7169" width="3.7109375" customWidth="1"/>
    <col min="7170" max="7170" width="25.7109375" customWidth="1"/>
    <col min="7171" max="7171" width="4.7109375" customWidth="1"/>
    <col min="7172" max="7172" width="6.7109375" customWidth="1"/>
    <col min="7174" max="7174" width="3.7109375" customWidth="1"/>
    <col min="7175" max="7175" width="25.7109375" customWidth="1"/>
    <col min="7425" max="7425" width="3.7109375" customWidth="1"/>
    <col min="7426" max="7426" width="25.7109375" customWidth="1"/>
    <col min="7427" max="7427" width="4.7109375" customWidth="1"/>
    <col min="7428" max="7428" width="6.7109375" customWidth="1"/>
    <col min="7430" max="7430" width="3.7109375" customWidth="1"/>
    <col min="7431" max="7431" width="25.7109375" customWidth="1"/>
    <col min="7681" max="7681" width="3.7109375" customWidth="1"/>
    <col min="7682" max="7682" width="25.7109375" customWidth="1"/>
    <col min="7683" max="7683" width="4.7109375" customWidth="1"/>
    <col min="7684" max="7684" width="6.7109375" customWidth="1"/>
    <col min="7686" max="7686" width="3.7109375" customWidth="1"/>
    <col min="7687" max="7687" width="25.7109375" customWidth="1"/>
    <col min="7937" max="7937" width="3.7109375" customWidth="1"/>
    <col min="7938" max="7938" width="25.7109375" customWidth="1"/>
    <col min="7939" max="7939" width="4.7109375" customWidth="1"/>
    <col min="7940" max="7940" width="6.7109375" customWidth="1"/>
    <col min="7942" max="7942" width="3.7109375" customWidth="1"/>
    <col min="7943" max="7943" width="25.7109375" customWidth="1"/>
    <col min="8193" max="8193" width="3.7109375" customWidth="1"/>
    <col min="8194" max="8194" width="25.7109375" customWidth="1"/>
    <col min="8195" max="8195" width="4.7109375" customWidth="1"/>
    <col min="8196" max="8196" width="6.7109375" customWidth="1"/>
    <col min="8198" max="8198" width="3.7109375" customWidth="1"/>
    <col min="8199" max="8199" width="25.7109375" customWidth="1"/>
    <col min="8449" max="8449" width="3.7109375" customWidth="1"/>
    <col min="8450" max="8450" width="25.7109375" customWidth="1"/>
    <col min="8451" max="8451" width="4.7109375" customWidth="1"/>
    <col min="8452" max="8452" width="6.7109375" customWidth="1"/>
    <col min="8454" max="8454" width="3.7109375" customWidth="1"/>
    <col min="8455" max="8455" width="25.7109375" customWidth="1"/>
    <col min="8705" max="8705" width="3.7109375" customWidth="1"/>
    <col min="8706" max="8706" width="25.7109375" customWidth="1"/>
    <col min="8707" max="8707" width="4.7109375" customWidth="1"/>
    <col min="8708" max="8708" width="6.7109375" customWidth="1"/>
    <col min="8710" max="8710" width="3.7109375" customWidth="1"/>
    <col min="8711" max="8711" width="25.7109375" customWidth="1"/>
    <col min="8961" max="8961" width="3.7109375" customWidth="1"/>
    <col min="8962" max="8962" width="25.7109375" customWidth="1"/>
    <col min="8963" max="8963" width="4.7109375" customWidth="1"/>
    <col min="8964" max="8964" width="6.7109375" customWidth="1"/>
    <col min="8966" max="8966" width="3.7109375" customWidth="1"/>
    <col min="8967" max="8967" width="25.7109375" customWidth="1"/>
    <col min="9217" max="9217" width="3.7109375" customWidth="1"/>
    <col min="9218" max="9218" width="25.7109375" customWidth="1"/>
    <col min="9219" max="9219" width="4.7109375" customWidth="1"/>
    <col min="9220" max="9220" width="6.7109375" customWidth="1"/>
    <col min="9222" max="9222" width="3.7109375" customWidth="1"/>
    <col min="9223" max="9223" width="25.7109375" customWidth="1"/>
    <col min="9473" max="9473" width="3.7109375" customWidth="1"/>
    <col min="9474" max="9474" width="25.7109375" customWidth="1"/>
    <col min="9475" max="9475" width="4.7109375" customWidth="1"/>
    <col min="9476" max="9476" width="6.7109375" customWidth="1"/>
    <col min="9478" max="9478" width="3.7109375" customWidth="1"/>
    <col min="9479" max="9479" width="25.7109375" customWidth="1"/>
    <col min="9729" max="9729" width="3.7109375" customWidth="1"/>
    <col min="9730" max="9730" width="25.7109375" customWidth="1"/>
    <col min="9731" max="9731" width="4.7109375" customWidth="1"/>
    <col min="9732" max="9732" width="6.7109375" customWidth="1"/>
    <col min="9734" max="9734" width="3.7109375" customWidth="1"/>
    <col min="9735" max="9735" width="25.7109375" customWidth="1"/>
    <col min="9985" max="9985" width="3.7109375" customWidth="1"/>
    <col min="9986" max="9986" width="25.7109375" customWidth="1"/>
    <col min="9987" max="9987" width="4.7109375" customWidth="1"/>
    <col min="9988" max="9988" width="6.7109375" customWidth="1"/>
    <col min="9990" max="9990" width="3.7109375" customWidth="1"/>
    <col min="9991" max="9991" width="25.7109375" customWidth="1"/>
    <col min="10241" max="10241" width="3.7109375" customWidth="1"/>
    <col min="10242" max="10242" width="25.7109375" customWidth="1"/>
    <col min="10243" max="10243" width="4.7109375" customWidth="1"/>
    <col min="10244" max="10244" width="6.7109375" customWidth="1"/>
    <col min="10246" max="10246" width="3.7109375" customWidth="1"/>
    <col min="10247" max="10247" width="25.7109375" customWidth="1"/>
    <col min="10497" max="10497" width="3.7109375" customWidth="1"/>
    <col min="10498" max="10498" width="25.7109375" customWidth="1"/>
    <col min="10499" max="10499" width="4.7109375" customWidth="1"/>
    <col min="10500" max="10500" width="6.7109375" customWidth="1"/>
    <col min="10502" max="10502" width="3.7109375" customWidth="1"/>
    <col min="10503" max="10503" width="25.7109375" customWidth="1"/>
    <col min="10753" max="10753" width="3.7109375" customWidth="1"/>
    <col min="10754" max="10754" width="25.7109375" customWidth="1"/>
    <col min="10755" max="10755" width="4.7109375" customWidth="1"/>
    <col min="10756" max="10756" width="6.7109375" customWidth="1"/>
    <col min="10758" max="10758" width="3.7109375" customWidth="1"/>
    <col min="10759" max="10759" width="25.7109375" customWidth="1"/>
    <col min="11009" max="11009" width="3.7109375" customWidth="1"/>
    <col min="11010" max="11010" width="25.7109375" customWidth="1"/>
    <col min="11011" max="11011" width="4.7109375" customWidth="1"/>
    <col min="11012" max="11012" width="6.7109375" customWidth="1"/>
    <col min="11014" max="11014" width="3.7109375" customWidth="1"/>
    <col min="11015" max="11015" width="25.7109375" customWidth="1"/>
    <col min="11265" max="11265" width="3.7109375" customWidth="1"/>
    <col min="11266" max="11266" width="25.7109375" customWidth="1"/>
    <col min="11267" max="11267" width="4.7109375" customWidth="1"/>
    <col min="11268" max="11268" width="6.7109375" customWidth="1"/>
    <col min="11270" max="11270" width="3.7109375" customWidth="1"/>
    <col min="11271" max="11271" width="25.7109375" customWidth="1"/>
    <col min="11521" max="11521" width="3.7109375" customWidth="1"/>
    <col min="11522" max="11522" width="25.7109375" customWidth="1"/>
    <col min="11523" max="11523" width="4.7109375" customWidth="1"/>
    <col min="11524" max="11524" width="6.7109375" customWidth="1"/>
    <col min="11526" max="11526" width="3.7109375" customWidth="1"/>
    <col min="11527" max="11527" width="25.7109375" customWidth="1"/>
    <col min="11777" max="11777" width="3.7109375" customWidth="1"/>
    <col min="11778" max="11778" width="25.7109375" customWidth="1"/>
    <col min="11779" max="11779" width="4.7109375" customWidth="1"/>
    <col min="11780" max="11780" width="6.7109375" customWidth="1"/>
    <col min="11782" max="11782" width="3.7109375" customWidth="1"/>
    <col min="11783" max="11783" width="25.7109375" customWidth="1"/>
    <col min="12033" max="12033" width="3.7109375" customWidth="1"/>
    <col min="12034" max="12034" width="25.7109375" customWidth="1"/>
    <col min="12035" max="12035" width="4.7109375" customWidth="1"/>
    <col min="12036" max="12036" width="6.7109375" customWidth="1"/>
    <col min="12038" max="12038" width="3.7109375" customWidth="1"/>
    <col min="12039" max="12039" width="25.7109375" customWidth="1"/>
    <col min="12289" max="12289" width="3.7109375" customWidth="1"/>
    <col min="12290" max="12290" width="25.7109375" customWidth="1"/>
    <col min="12291" max="12291" width="4.7109375" customWidth="1"/>
    <col min="12292" max="12292" width="6.7109375" customWidth="1"/>
    <col min="12294" max="12294" width="3.7109375" customWidth="1"/>
    <col min="12295" max="12295" width="25.7109375" customWidth="1"/>
    <col min="12545" max="12545" width="3.7109375" customWidth="1"/>
    <col min="12546" max="12546" width="25.7109375" customWidth="1"/>
    <col min="12547" max="12547" width="4.7109375" customWidth="1"/>
    <col min="12548" max="12548" width="6.7109375" customWidth="1"/>
    <col min="12550" max="12550" width="3.7109375" customWidth="1"/>
    <col min="12551" max="12551" width="25.7109375" customWidth="1"/>
    <col min="12801" max="12801" width="3.7109375" customWidth="1"/>
    <col min="12802" max="12802" width="25.7109375" customWidth="1"/>
    <col min="12803" max="12803" width="4.7109375" customWidth="1"/>
    <col min="12804" max="12804" width="6.7109375" customWidth="1"/>
    <col min="12806" max="12806" width="3.7109375" customWidth="1"/>
    <col min="12807" max="12807" width="25.7109375" customWidth="1"/>
    <col min="13057" max="13057" width="3.7109375" customWidth="1"/>
    <col min="13058" max="13058" width="25.7109375" customWidth="1"/>
    <col min="13059" max="13059" width="4.7109375" customWidth="1"/>
    <col min="13060" max="13060" width="6.7109375" customWidth="1"/>
    <col min="13062" max="13062" width="3.7109375" customWidth="1"/>
    <col min="13063" max="13063" width="25.7109375" customWidth="1"/>
    <col min="13313" max="13313" width="3.7109375" customWidth="1"/>
    <col min="13314" max="13314" width="25.7109375" customWidth="1"/>
    <col min="13315" max="13315" width="4.7109375" customWidth="1"/>
    <col min="13316" max="13316" width="6.7109375" customWidth="1"/>
    <col min="13318" max="13318" width="3.7109375" customWidth="1"/>
    <col min="13319" max="13319" width="25.7109375" customWidth="1"/>
    <col min="13569" max="13569" width="3.7109375" customWidth="1"/>
    <col min="13570" max="13570" width="25.7109375" customWidth="1"/>
    <col min="13571" max="13571" width="4.7109375" customWidth="1"/>
    <col min="13572" max="13572" width="6.7109375" customWidth="1"/>
    <col min="13574" max="13574" width="3.7109375" customWidth="1"/>
    <col min="13575" max="13575" width="25.7109375" customWidth="1"/>
    <col min="13825" max="13825" width="3.7109375" customWidth="1"/>
    <col min="13826" max="13826" width="25.7109375" customWidth="1"/>
    <col min="13827" max="13827" width="4.7109375" customWidth="1"/>
    <col min="13828" max="13828" width="6.7109375" customWidth="1"/>
    <col min="13830" max="13830" width="3.7109375" customWidth="1"/>
    <col min="13831" max="13831" width="25.7109375" customWidth="1"/>
    <col min="14081" max="14081" width="3.7109375" customWidth="1"/>
    <col min="14082" max="14082" width="25.7109375" customWidth="1"/>
    <col min="14083" max="14083" width="4.7109375" customWidth="1"/>
    <col min="14084" max="14084" width="6.7109375" customWidth="1"/>
    <col min="14086" max="14086" width="3.7109375" customWidth="1"/>
    <col min="14087" max="14087" width="25.7109375" customWidth="1"/>
    <col min="14337" max="14337" width="3.7109375" customWidth="1"/>
    <col min="14338" max="14338" width="25.7109375" customWidth="1"/>
    <col min="14339" max="14339" width="4.7109375" customWidth="1"/>
    <col min="14340" max="14340" width="6.7109375" customWidth="1"/>
    <col min="14342" max="14342" width="3.7109375" customWidth="1"/>
    <col min="14343" max="14343" width="25.7109375" customWidth="1"/>
    <col min="14593" max="14593" width="3.7109375" customWidth="1"/>
    <col min="14594" max="14594" width="25.7109375" customWidth="1"/>
    <col min="14595" max="14595" width="4.7109375" customWidth="1"/>
    <col min="14596" max="14596" width="6.7109375" customWidth="1"/>
    <col min="14598" max="14598" width="3.7109375" customWidth="1"/>
    <col min="14599" max="14599" width="25.7109375" customWidth="1"/>
    <col min="14849" max="14849" width="3.7109375" customWidth="1"/>
    <col min="14850" max="14850" width="25.7109375" customWidth="1"/>
    <col min="14851" max="14851" width="4.7109375" customWidth="1"/>
    <col min="14852" max="14852" width="6.7109375" customWidth="1"/>
    <col min="14854" max="14854" width="3.7109375" customWidth="1"/>
    <col min="14855" max="14855" width="25.7109375" customWidth="1"/>
    <col min="15105" max="15105" width="3.7109375" customWidth="1"/>
    <col min="15106" max="15106" width="25.7109375" customWidth="1"/>
    <col min="15107" max="15107" width="4.7109375" customWidth="1"/>
    <col min="15108" max="15108" width="6.7109375" customWidth="1"/>
    <col min="15110" max="15110" width="3.7109375" customWidth="1"/>
    <col min="15111" max="15111" width="25.7109375" customWidth="1"/>
    <col min="15361" max="15361" width="3.7109375" customWidth="1"/>
    <col min="15362" max="15362" width="25.7109375" customWidth="1"/>
    <col min="15363" max="15363" width="4.7109375" customWidth="1"/>
    <col min="15364" max="15364" width="6.7109375" customWidth="1"/>
    <col min="15366" max="15366" width="3.7109375" customWidth="1"/>
    <col min="15367" max="15367" width="25.7109375" customWidth="1"/>
    <col min="15617" max="15617" width="3.7109375" customWidth="1"/>
    <col min="15618" max="15618" width="25.7109375" customWidth="1"/>
    <col min="15619" max="15619" width="4.7109375" customWidth="1"/>
    <col min="15620" max="15620" width="6.7109375" customWidth="1"/>
    <col min="15622" max="15622" width="3.7109375" customWidth="1"/>
    <col min="15623" max="15623" width="25.7109375" customWidth="1"/>
    <col min="15873" max="15873" width="3.7109375" customWidth="1"/>
    <col min="15874" max="15874" width="25.7109375" customWidth="1"/>
    <col min="15875" max="15875" width="4.7109375" customWidth="1"/>
    <col min="15876" max="15876" width="6.7109375" customWidth="1"/>
    <col min="15878" max="15878" width="3.7109375" customWidth="1"/>
    <col min="15879" max="15879" width="25.7109375" customWidth="1"/>
    <col min="16129" max="16129" width="3.7109375" customWidth="1"/>
    <col min="16130" max="16130" width="25.7109375" customWidth="1"/>
    <col min="16131" max="16131" width="4.7109375" customWidth="1"/>
    <col min="16132" max="16132" width="6.7109375" customWidth="1"/>
    <col min="16134" max="16134" width="3.7109375" customWidth="1"/>
    <col min="16135" max="16135" width="25.7109375" customWidth="1"/>
  </cols>
  <sheetData>
    <row r="1" spans="1:8" x14ac:dyDescent="0.25">
      <c r="B1" s="315" t="s">
        <v>274</v>
      </c>
      <c r="C1" s="315"/>
      <c r="D1" s="315"/>
      <c r="E1" s="315"/>
      <c r="F1" s="315"/>
      <c r="G1" s="315"/>
      <c r="H1" s="315"/>
    </row>
    <row r="2" spans="1:8" x14ac:dyDescent="0.25">
      <c r="B2" s="121" t="s">
        <v>281</v>
      </c>
      <c r="C2" s="122" t="s">
        <v>279</v>
      </c>
      <c r="D2" s="122" t="s">
        <v>278</v>
      </c>
      <c r="E2" s="122" t="s">
        <v>282</v>
      </c>
      <c r="G2" s="121" t="s">
        <v>283</v>
      </c>
      <c r="H2" s="122" t="s">
        <v>212</v>
      </c>
    </row>
    <row r="3" spans="1:8" x14ac:dyDescent="0.25">
      <c r="A3" s="1">
        <v>1</v>
      </c>
      <c r="B3" s="129" t="s">
        <v>284</v>
      </c>
      <c r="C3" s="130">
        <v>2</v>
      </c>
      <c r="D3" s="130">
        <v>1.0832999999999999</v>
      </c>
      <c r="E3" s="123">
        <f>C3*D3</f>
        <v>2.1665999999999999</v>
      </c>
      <c r="F3" s="1">
        <v>11</v>
      </c>
      <c r="G3" s="129" t="s">
        <v>285</v>
      </c>
      <c r="H3" s="130">
        <v>3</v>
      </c>
    </row>
    <row r="4" spans="1:8" x14ac:dyDescent="0.25">
      <c r="A4" s="1">
        <v>2</v>
      </c>
      <c r="B4" s="131" t="s">
        <v>286</v>
      </c>
      <c r="C4" s="54">
        <v>2.5</v>
      </c>
      <c r="D4" s="54">
        <v>1.0832999999999999</v>
      </c>
      <c r="E4" s="124">
        <f t="shared" ref="E4:E10" si="0">C4*D4</f>
        <v>2.7082499999999996</v>
      </c>
      <c r="F4" s="1">
        <v>12</v>
      </c>
      <c r="G4" s="131" t="s">
        <v>287</v>
      </c>
      <c r="H4" s="54">
        <v>2.25</v>
      </c>
    </row>
    <row r="5" spans="1:8" x14ac:dyDescent="0.25">
      <c r="A5" s="1">
        <v>3</v>
      </c>
      <c r="B5" s="131" t="s">
        <v>288</v>
      </c>
      <c r="C5" s="54">
        <v>1.25</v>
      </c>
      <c r="D5" s="54">
        <v>1.0832999999999999</v>
      </c>
      <c r="E5" s="124">
        <f t="shared" si="0"/>
        <v>1.3541249999999998</v>
      </c>
      <c r="F5" s="1">
        <v>13</v>
      </c>
      <c r="G5" s="131" t="s">
        <v>289</v>
      </c>
      <c r="H5" s="54">
        <v>5</v>
      </c>
    </row>
    <row r="6" spans="1:8" x14ac:dyDescent="0.25">
      <c r="A6" s="1">
        <v>4</v>
      </c>
      <c r="B6" s="131" t="s">
        <v>289</v>
      </c>
      <c r="C6" s="54">
        <v>5</v>
      </c>
      <c r="D6" s="54">
        <v>1</v>
      </c>
      <c r="E6" s="124">
        <f t="shared" si="0"/>
        <v>5</v>
      </c>
      <c r="F6" s="1">
        <v>14</v>
      </c>
      <c r="G6" s="131" t="s">
        <v>290</v>
      </c>
      <c r="H6" s="54">
        <v>1.5</v>
      </c>
    </row>
    <row r="7" spans="1:8" x14ac:dyDescent="0.25">
      <c r="A7" s="1">
        <v>5</v>
      </c>
      <c r="B7" s="131" t="s">
        <v>290</v>
      </c>
      <c r="C7" s="54">
        <v>0.2</v>
      </c>
      <c r="D7" s="54">
        <v>1.0832999999999999</v>
      </c>
      <c r="E7" s="124">
        <f t="shared" si="0"/>
        <v>0.21665999999999999</v>
      </c>
      <c r="F7" s="1">
        <v>15</v>
      </c>
      <c r="G7" s="131" t="s">
        <v>291</v>
      </c>
      <c r="H7" s="54">
        <v>3.125</v>
      </c>
    </row>
    <row r="8" spans="1:8" x14ac:dyDescent="0.25">
      <c r="A8" s="1">
        <v>6</v>
      </c>
      <c r="B8" s="131" t="s">
        <v>292</v>
      </c>
      <c r="C8" s="54">
        <v>3.125</v>
      </c>
      <c r="D8" s="54">
        <v>1</v>
      </c>
      <c r="E8" s="124">
        <f t="shared" si="0"/>
        <v>3.125</v>
      </c>
      <c r="F8" s="1">
        <v>16</v>
      </c>
      <c r="G8" s="131" t="s">
        <v>293</v>
      </c>
      <c r="H8" s="54">
        <v>5</v>
      </c>
    </row>
    <row r="9" spans="1:8" x14ac:dyDescent="0.25">
      <c r="A9" s="1">
        <v>7</v>
      </c>
      <c r="B9" s="131" t="s">
        <v>293</v>
      </c>
      <c r="C9" s="54">
        <v>5</v>
      </c>
      <c r="D9" s="54">
        <v>1</v>
      </c>
      <c r="E9" s="124">
        <f t="shared" si="0"/>
        <v>5</v>
      </c>
      <c r="F9" s="1">
        <v>17</v>
      </c>
      <c r="G9" s="131"/>
      <c r="H9" s="54"/>
    </row>
    <row r="10" spans="1:8" x14ac:dyDescent="0.25">
      <c r="A10" s="1">
        <v>8</v>
      </c>
      <c r="B10" s="132"/>
      <c r="C10" s="133"/>
      <c r="D10" s="133"/>
      <c r="E10" s="125">
        <f t="shared" si="0"/>
        <v>0</v>
      </c>
      <c r="F10" s="1">
        <v>18</v>
      </c>
      <c r="G10" s="132"/>
      <c r="H10" s="133"/>
    </row>
    <row r="11" spans="1:8" x14ac:dyDescent="0.25">
      <c r="A11" s="1">
        <v>9</v>
      </c>
      <c r="B11" s="121" t="s">
        <v>294</v>
      </c>
      <c r="C11" s="10"/>
      <c r="D11" s="10"/>
      <c r="E11" s="126">
        <f>SUM(E3:E10)</f>
        <v>19.570634999999996</v>
      </c>
      <c r="F11" s="1">
        <v>19</v>
      </c>
      <c r="G11" s="121" t="s">
        <v>295</v>
      </c>
      <c r="H11" s="126">
        <f>SUM(H3:H10)</f>
        <v>19.875</v>
      </c>
    </row>
    <row r="12" spans="1:8" x14ac:dyDescent="0.25">
      <c r="A12" s="1">
        <v>10</v>
      </c>
      <c r="B12" s="121" t="s">
        <v>296</v>
      </c>
      <c r="C12" s="10"/>
      <c r="D12" s="10"/>
      <c r="E12" s="126">
        <v>20</v>
      </c>
      <c r="F12" s="1">
        <v>20</v>
      </c>
      <c r="G12" s="121" t="s">
        <v>297</v>
      </c>
      <c r="H12" s="126">
        <v>40</v>
      </c>
    </row>
    <row r="14" spans="1:8" x14ac:dyDescent="0.25">
      <c r="B14" s="121" t="s">
        <v>298</v>
      </c>
      <c r="C14" s="121"/>
      <c r="D14" s="122"/>
      <c r="E14" s="122" t="s">
        <v>212</v>
      </c>
      <c r="G14" s="138"/>
      <c r="H14" s="122" t="s">
        <v>212</v>
      </c>
    </row>
    <row r="15" spans="1:8" x14ac:dyDescent="0.25">
      <c r="A15" s="1">
        <v>21</v>
      </c>
      <c r="B15" s="134" t="s">
        <v>299</v>
      </c>
      <c r="C15" s="134"/>
      <c r="D15" s="135"/>
      <c r="E15" s="135"/>
      <c r="F15" s="1">
        <v>31</v>
      </c>
      <c r="G15" s="129"/>
      <c r="H15" s="130"/>
    </row>
    <row r="16" spans="1:8" x14ac:dyDescent="0.25">
      <c r="A16" s="1">
        <v>22</v>
      </c>
      <c r="B16" s="131"/>
      <c r="C16" s="131"/>
      <c r="D16" s="136"/>
      <c r="E16" s="136"/>
      <c r="F16" s="1">
        <v>32</v>
      </c>
      <c r="G16" s="131"/>
      <c r="H16" s="54"/>
    </row>
    <row r="17" spans="1:8" x14ac:dyDescent="0.25">
      <c r="A17" s="1">
        <v>23</v>
      </c>
      <c r="B17" s="131"/>
      <c r="C17" s="131"/>
      <c r="D17" s="136"/>
      <c r="E17" s="136"/>
      <c r="F17" s="1">
        <v>33</v>
      </c>
      <c r="G17" s="131"/>
      <c r="H17" s="54"/>
    </row>
    <row r="18" spans="1:8" x14ac:dyDescent="0.25">
      <c r="A18" s="1">
        <v>24</v>
      </c>
      <c r="B18" s="131"/>
      <c r="C18" s="131"/>
      <c r="D18" s="136"/>
      <c r="E18" s="136"/>
      <c r="F18" s="1">
        <v>34</v>
      </c>
      <c r="G18" s="131"/>
      <c r="H18" s="54"/>
    </row>
    <row r="19" spans="1:8" x14ac:dyDescent="0.25">
      <c r="A19" s="1">
        <v>25</v>
      </c>
      <c r="B19" s="131"/>
      <c r="C19" s="131"/>
      <c r="D19" s="136"/>
      <c r="E19" s="136"/>
      <c r="F19" s="1">
        <v>35</v>
      </c>
      <c r="G19" s="131"/>
      <c r="H19" s="54"/>
    </row>
    <row r="20" spans="1:8" x14ac:dyDescent="0.25">
      <c r="A20" s="1">
        <v>26</v>
      </c>
      <c r="B20" s="131"/>
      <c r="C20" s="131"/>
      <c r="D20" s="136"/>
      <c r="E20" s="136"/>
      <c r="F20" s="1">
        <v>36</v>
      </c>
      <c r="G20" s="131"/>
      <c r="H20" s="54"/>
    </row>
    <row r="21" spans="1:8" x14ac:dyDescent="0.25">
      <c r="A21" s="1">
        <v>27</v>
      </c>
      <c r="B21" s="131"/>
      <c r="C21" s="131"/>
      <c r="D21" s="136"/>
      <c r="E21" s="136"/>
      <c r="F21" s="1">
        <v>37</v>
      </c>
      <c r="G21" s="131"/>
      <c r="H21" s="54"/>
    </row>
    <row r="22" spans="1:8" x14ac:dyDescent="0.25">
      <c r="A22" s="1">
        <v>28</v>
      </c>
      <c r="B22" s="132"/>
      <c r="C22" s="132"/>
      <c r="D22" s="137"/>
      <c r="E22" s="137"/>
      <c r="F22" s="1">
        <v>38</v>
      </c>
      <c r="G22" s="132"/>
      <c r="H22" s="133"/>
    </row>
    <row r="23" spans="1:8" x14ac:dyDescent="0.25">
      <c r="A23" s="1">
        <v>29</v>
      </c>
      <c r="B23" s="10" t="s">
        <v>300</v>
      </c>
      <c r="C23" s="10"/>
      <c r="D23" s="46"/>
      <c r="E23" s="127">
        <f>SUM(E15:E22)</f>
        <v>0</v>
      </c>
      <c r="F23" s="1">
        <v>39</v>
      </c>
      <c r="G23" s="10"/>
      <c r="H23" s="127"/>
    </row>
    <row r="24" spans="1:8" x14ac:dyDescent="0.25">
      <c r="A24" s="1">
        <v>30</v>
      </c>
      <c r="B24" s="10" t="s">
        <v>301</v>
      </c>
      <c r="C24" s="10"/>
      <c r="D24" s="46"/>
      <c r="E24" s="127">
        <v>0</v>
      </c>
      <c r="F24" s="1">
        <v>40</v>
      </c>
      <c r="G24" s="10"/>
      <c r="H24" s="127"/>
    </row>
    <row r="26" spans="1:8" x14ac:dyDescent="0.25">
      <c r="B26" s="121" t="s">
        <v>302</v>
      </c>
      <c r="C26" s="121"/>
      <c r="D26" s="121"/>
      <c r="E26" s="122" t="s">
        <v>212</v>
      </c>
      <c r="G26" s="121" t="s">
        <v>303</v>
      </c>
      <c r="H26" s="122" t="s">
        <v>212</v>
      </c>
    </row>
    <row r="27" spans="1:8" x14ac:dyDescent="0.25">
      <c r="A27" s="1">
        <v>41</v>
      </c>
      <c r="B27" s="129" t="s">
        <v>304</v>
      </c>
      <c r="C27" s="129"/>
      <c r="D27" s="129"/>
      <c r="E27" s="130">
        <v>10</v>
      </c>
      <c r="F27" s="1">
        <v>50</v>
      </c>
      <c r="G27" s="129" t="s">
        <v>305</v>
      </c>
      <c r="H27" s="130">
        <v>3.125</v>
      </c>
    </row>
    <row r="28" spans="1:8" x14ac:dyDescent="0.25">
      <c r="A28" s="1">
        <v>42</v>
      </c>
      <c r="B28" s="131" t="s">
        <v>306</v>
      </c>
      <c r="C28" s="131"/>
      <c r="D28" s="131"/>
      <c r="E28" s="54">
        <v>1.25</v>
      </c>
      <c r="F28" s="1">
        <v>51</v>
      </c>
      <c r="G28" s="131" t="s">
        <v>289</v>
      </c>
      <c r="H28" s="54">
        <v>0.9</v>
      </c>
    </row>
    <row r="29" spans="1:8" x14ac:dyDescent="0.25">
      <c r="A29" s="1">
        <v>43</v>
      </c>
      <c r="B29" s="131" t="s">
        <v>289</v>
      </c>
      <c r="C29" s="131"/>
      <c r="D29" s="131"/>
      <c r="E29" s="54">
        <v>0.9</v>
      </c>
      <c r="F29" s="1">
        <v>52</v>
      </c>
      <c r="G29" s="131" t="s">
        <v>290</v>
      </c>
      <c r="H29" s="54">
        <v>1.5</v>
      </c>
    </row>
    <row r="30" spans="1:8" x14ac:dyDescent="0.25">
      <c r="A30" s="1">
        <v>44</v>
      </c>
      <c r="B30" s="131" t="s">
        <v>290</v>
      </c>
      <c r="C30" s="131"/>
      <c r="D30" s="131"/>
      <c r="E30" s="54">
        <v>1.5</v>
      </c>
      <c r="F30" s="1">
        <v>53</v>
      </c>
      <c r="G30" s="131" t="s">
        <v>305</v>
      </c>
      <c r="H30" s="54">
        <v>3.125</v>
      </c>
    </row>
    <row r="31" spans="1:8" x14ac:dyDescent="0.25">
      <c r="A31" s="1">
        <v>45</v>
      </c>
      <c r="B31" s="131" t="s">
        <v>291</v>
      </c>
      <c r="C31" s="131"/>
      <c r="D31" s="131"/>
      <c r="E31" s="54">
        <v>3.125</v>
      </c>
      <c r="F31" s="1">
        <v>54</v>
      </c>
      <c r="G31" s="131" t="s">
        <v>293</v>
      </c>
      <c r="H31" s="54">
        <v>3</v>
      </c>
    </row>
    <row r="32" spans="1:8" x14ac:dyDescent="0.25">
      <c r="A32" s="1">
        <v>46</v>
      </c>
      <c r="B32" s="131" t="s">
        <v>307</v>
      </c>
      <c r="C32" s="131"/>
      <c r="D32" s="131"/>
      <c r="E32" s="54">
        <v>3</v>
      </c>
      <c r="F32" s="1">
        <v>55</v>
      </c>
      <c r="G32" s="131"/>
      <c r="H32" s="54"/>
    </row>
    <row r="33" spans="1:8" x14ac:dyDescent="0.25">
      <c r="A33" s="1">
        <v>47</v>
      </c>
      <c r="B33" s="131"/>
      <c r="C33" s="131"/>
      <c r="D33" s="131"/>
      <c r="E33" s="54"/>
      <c r="F33" s="1">
        <v>56</v>
      </c>
      <c r="G33" s="131"/>
      <c r="H33" s="54"/>
    </row>
    <row r="34" spans="1:8" x14ac:dyDescent="0.25">
      <c r="A34" s="1">
        <v>48</v>
      </c>
      <c r="B34" s="132"/>
      <c r="C34" s="132"/>
      <c r="D34" s="132"/>
      <c r="E34" s="133"/>
      <c r="F34" s="1">
        <v>57</v>
      </c>
      <c r="G34" s="132"/>
      <c r="H34" s="133"/>
    </row>
    <row r="35" spans="1:8" x14ac:dyDescent="0.25">
      <c r="A35" s="1">
        <v>49</v>
      </c>
      <c r="B35" s="121" t="s">
        <v>308</v>
      </c>
      <c r="C35" s="121"/>
      <c r="D35" s="121"/>
      <c r="E35" s="126">
        <f>SUM(E27:E34)</f>
        <v>19.774999999999999</v>
      </c>
      <c r="F35" s="1">
        <v>58</v>
      </c>
      <c r="G35" s="121" t="s">
        <v>309</v>
      </c>
      <c r="H35" s="126">
        <f>SUM(H27:H34)</f>
        <v>11.65</v>
      </c>
    </row>
    <row r="37" spans="1:8" x14ac:dyDescent="0.25">
      <c r="B37" s="128" t="s">
        <v>310</v>
      </c>
    </row>
    <row r="38" spans="1:8" x14ac:dyDescent="0.25">
      <c r="A38" s="139">
        <v>1</v>
      </c>
      <c r="B38" s="140" t="s">
        <v>313</v>
      </c>
    </row>
    <row r="39" spans="1:8" x14ac:dyDescent="0.25">
      <c r="A39" s="139"/>
      <c r="B39" s="140"/>
    </row>
    <row r="40" spans="1:8" x14ac:dyDescent="0.25">
      <c r="A40" s="139"/>
      <c r="B40" s="140"/>
    </row>
    <row r="41" spans="1:8" x14ac:dyDescent="0.25">
      <c r="A41" s="139"/>
      <c r="B41" s="140"/>
    </row>
    <row r="42" spans="1:8" x14ac:dyDescent="0.25">
      <c r="A42" s="139"/>
      <c r="B42" s="140"/>
    </row>
    <row r="43" spans="1:8" x14ac:dyDescent="0.25">
      <c r="A43" s="139"/>
      <c r="B43" s="140"/>
    </row>
    <row r="44" spans="1:8" x14ac:dyDescent="0.25">
      <c r="B44" s="121" t="s">
        <v>275</v>
      </c>
      <c r="C44" s="122" t="s">
        <v>276</v>
      </c>
      <c r="D44" s="122" t="s">
        <v>277</v>
      </c>
      <c r="E44" s="122" t="s">
        <v>278</v>
      </c>
    </row>
    <row r="45" spans="1:8" x14ac:dyDescent="0.25">
      <c r="A45" s="1" t="s">
        <v>13</v>
      </c>
      <c r="B45" s="27" t="s">
        <v>279</v>
      </c>
      <c r="C45" s="44">
        <v>0</v>
      </c>
      <c r="D45" s="44">
        <v>12</v>
      </c>
      <c r="E45" s="118">
        <f>SQRT((C45^2)+(D45^2))/D45</f>
        <v>1</v>
      </c>
    </row>
    <row r="46" spans="1:8" x14ac:dyDescent="0.25">
      <c r="A46" s="1" t="s">
        <v>14</v>
      </c>
      <c r="B46" s="115" t="s">
        <v>311</v>
      </c>
      <c r="C46" s="39">
        <v>4</v>
      </c>
      <c r="D46" s="39">
        <v>12</v>
      </c>
      <c r="E46" s="119">
        <f>SQRT((C46^2)+(D46^2))/D46</f>
        <v>1.0540925533894598</v>
      </c>
    </row>
    <row r="47" spans="1:8" x14ac:dyDescent="0.25">
      <c r="A47" s="1" t="s">
        <v>15</v>
      </c>
      <c r="B47" s="115" t="s">
        <v>312</v>
      </c>
      <c r="C47" s="39">
        <v>5</v>
      </c>
      <c r="D47" s="39">
        <v>12</v>
      </c>
      <c r="E47" s="119">
        <f>SQRT((C47^2)+(D47^2))/D47</f>
        <v>1.0833333333333333</v>
      </c>
    </row>
    <row r="48" spans="1:8" x14ac:dyDescent="0.25">
      <c r="A48" s="1" t="s">
        <v>10</v>
      </c>
      <c r="B48" s="116" t="s">
        <v>280</v>
      </c>
      <c r="C48" s="117">
        <v>6.5</v>
      </c>
      <c r="D48" s="117">
        <v>12</v>
      </c>
      <c r="E48" s="120">
        <f>SQRT((C48^2)+(D48^2))/D48</f>
        <v>1.1372786719963484</v>
      </c>
    </row>
  </sheetData>
  <sheetProtection selectLockedCells="1"/>
  <mergeCells count="1">
    <mergeCell ref="B1:H1"/>
  </mergeCells>
  <pageMargins left="0.75" right="0.75" top="1.25" bottom="1" header="0.5" footer="0.5"/>
  <pageSetup orientation="portrait" horizontalDpi="300" verticalDpi="300" r:id="rId1"/>
  <headerFooter alignWithMargins="0">
    <oddFooter>&amp;L&amp;F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J131"/>
  <sheetViews>
    <sheetView showGridLines="0" zoomScaleNormal="100" workbookViewId="0">
      <selection activeCell="V3" sqref="V3"/>
    </sheetView>
  </sheetViews>
  <sheetFormatPr defaultColWidth="9.140625" defaultRowHeight="15" x14ac:dyDescent="0.25"/>
  <cols>
    <col min="1" max="1" width="1.7109375" customWidth="1"/>
  </cols>
  <sheetData>
    <row r="1" spans="2:34" ht="18" x14ac:dyDescent="0.25">
      <c r="B1" s="41" t="s">
        <v>174</v>
      </c>
      <c r="K1" s="41" t="s">
        <v>174</v>
      </c>
      <c r="U1" t="s">
        <v>250</v>
      </c>
    </row>
    <row r="2" spans="2:34" ht="18" customHeight="1" x14ac:dyDescent="0.25">
      <c r="B2" s="316" t="s">
        <v>153</v>
      </c>
      <c r="C2" s="316"/>
      <c r="D2" s="320" t="s">
        <v>154</v>
      </c>
      <c r="E2" s="321"/>
      <c r="F2" s="322"/>
      <c r="G2" s="48" t="s">
        <v>155</v>
      </c>
      <c r="H2" s="57" t="s">
        <v>156</v>
      </c>
      <c r="I2" s="1"/>
      <c r="K2" s="316" t="s">
        <v>153</v>
      </c>
      <c r="L2" s="316"/>
      <c r="M2" s="48" t="s">
        <v>155</v>
      </c>
      <c r="N2" s="48" t="s">
        <v>156</v>
      </c>
      <c r="O2" s="48" t="s">
        <v>251</v>
      </c>
      <c r="P2" s="57" t="s">
        <v>157</v>
      </c>
      <c r="U2" t="s">
        <v>168</v>
      </c>
      <c r="V2" s="55">
        <f>'ENV|In'!M76</f>
        <v>0.85</v>
      </c>
    </row>
    <row r="3" spans="2:34" x14ac:dyDescent="0.25">
      <c r="B3" s="318"/>
      <c r="C3" s="318"/>
      <c r="D3" s="323"/>
      <c r="E3" s="324"/>
      <c r="F3" s="325"/>
      <c r="G3" s="58" t="s">
        <v>175</v>
      </c>
      <c r="H3" s="59" t="s">
        <v>176</v>
      </c>
      <c r="I3" s="60"/>
      <c r="K3" s="318"/>
      <c r="L3" s="318"/>
      <c r="M3" s="58" t="s">
        <v>175</v>
      </c>
      <c r="N3" s="58" t="s">
        <v>176</v>
      </c>
      <c r="O3" s="58" t="s">
        <v>177</v>
      </c>
      <c r="P3" s="59" t="s">
        <v>192</v>
      </c>
      <c r="U3" t="s">
        <v>29</v>
      </c>
      <c r="V3" s="54">
        <v>4</v>
      </c>
    </row>
    <row r="4" spans="2:34" x14ac:dyDescent="0.25">
      <c r="B4" s="46" t="s">
        <v>158</v>
      </c>
      <c r="C4" s="46" t="s">
        <v>159</v>
      </c>
      <c r="D4" s="62" t="s">
        <v>14</v>
      </c>
      <c r="E4" s="46" t="s">
        <v>15</v>
      </c>
      <c r="F4" s="63" t="s">
        <v>10</v>
      </c>
      <c r="G4" s="64" t="str">
        <f>'ENV|In'!M74</f>
        <v>C</v>
      </c>
      <c r="H4" s="65" t="s">
        <v>160</v>
      </c>
      <c r="I4" s="1"/>
      <c r="K4" s="46" t="s">
        <v>158</v>
      </c>
      <c r="L4" s="46" t="s">
        <v>159</v>
      </c>
      <c r="M4" s="66" t="str">
        <f>G4</f>
        <v>C</v>
      </c>
      <c r="N4" s="67" t="s">
        <v>160</v>
      </c>
      <c r="O4" s="67" t="s">
        <v>180</v>
      </c>
      <c r="P4" s="65" t="s">
        <v>160</v>
      </c>
      <c r="U4" t="s">
        <v>173</v>
      </c>
      <c r="V4" s="54">
        <v>5</v>
      </c>
    </row>
    <row r="5" spans="2:34" x14ac:dyDescent="0.25">
      <c r="B5" s="68">
        <v>0</v>
      </c>
      <c r="C5" s="69">
        <f>B5*0.3048</f>
        <v>0</v>
      </c>
      <c r="D5" s="70">
        <v>0.56999999999999995</v>
      </c>
      <c r="E5" s="55">
        <v>0.85</v>
      </c>
      <c r="F5" s="71">
        <v>1.03</v>
      </c>
      <c r="G5" s="72">
        <f>HLOOKUP($G$4,$D$4:$F$27,2)</f>
        <v>0.85</v>
      </c>
      <c r="H5" s="73">
        <f>0.00256*G5*'ENV|In'!$M$73*'ENV|In'!$M$68*'ENV|In'!$M$66^2</f>
        <v>24.460959999999996</v>
      </c>
      <c r="I5" s="55"/>
      <c r="K5" s="74">
        <f>B5</f>
        <v>0</v>
      </c>
      <c r="L5" s="75">
        <f>C5</f>
        <v>0</v>
      </c>
      <c r="M5" s="76">
        <f>G5</f>
        <v>0.85</v>
      </c>
      <c r="N5" s="76">
        <f>H5</f>
        <v>24.460959999999996</v>
      </c>
      <c r="O5" s="76">
        <f t="shared" ref="O5:O27" si="0">$AI$25</f>
        <v>1.625</v>
      </c>
      <c r="P5" s="73">
        <f t="shared" ref="P5:P27" si="1">N5*$V$2*$AI$25</f>
        <v>33.786700999999994</v>
      </c>
      <c r="U5" t="s">
        <v>14</v>
      </c>
      <c r="V5" s="54">
        <v>3</v>
      </c>
    </row>
    <row r="6" spans="2:34" x14ac:dyDescent="0.25">
      <c r="B6" s="68">
        <v>15</v>
      </c>
      <c r="C6" s="69">
        <f t="shared" ref="C6:C27" si="2">B6*0.3048</f>
        <v>4.5720000000000001</v>
      </c>
      <c r="D6" s="70">
        <v>0.56999999999999995</v>
      </c>
      <c r="E6" s="55">
        <v>0.85</v>
      </c>
      <c r="F6" s="71">
        <v>1.03</v>
      </c>
      <c r="G6" s="77">
        <f>HLOOKUP($G$4,$D$4:$F$27,3)</f>
        <v>0.85</v>
      </c>
      <c r="H6" s="70">
        <f>0.00256*G6*'ENV|In'!$M$73*'ENV|In'!$M$68*'ENV|In'!$M$66^2</f>
        <v>24.460959999999996</v>
      </c>
      <c r="I6" s="55"/>
      <c r="K6" s="68">
        <f t="shared" ref="K6:L27" si="3">B6</f>
        <v>15</v>
      </c>
      <c r="L6" s="78">
        <f t="shared" si="3"/>
        <v>4.5720000000000001</v>
      </c>
      <c r="M6" s="79">
        <f t="shared" ref="M6:N27" si="4">G6</f>
        <v>0.85</v>
      </c>
      <c r="N6" s="79">
        <f t="shared" si="4"/>
        <v>24.460959999999996</v>
      </c>
      <c r="O6" s="79">
        <f t="shared" si="0"/>
        <v>1.625</v>
      </c>
      <c r="P6" s="70">
        <f t="shared" si="1"/>
        <v>33.786700999999994</v>
      </c>
      <c r="U6" t="s">
        <v>240</v>
      </c>
      <c r="V6" s="55">
        <f>V3/V4</f>
        <v>0.8</v>
      </c>
    </row>
    <row r="7" spans="2:34" x14ac:dyDescent="0.25">
      <c r="B7" s="68">
        <v>20</v>
      </c>
      <c r="C7" s="69">
        <f t="shared" si="2"/>
        <v>6.0960000000000001</v>
      </c>
      <c r="D7" s="70">
        <v>0.62</v>
      </c>
      <c r="E7" s="55">
        <v>0.9</v>
      </c>
      <c r="F7" s="71">
        <v>1.08</v>
      </c>
      <c r="G7" s="77">
        <f>HLOOKUP($G$4,$D$4:$F$27,4)</f>
        <v>0.9</v>
      </c>
      <c r="H7" s="70">
        <f>0.00256*G7*'ENV|In'!$M$73*'ENV|In'!$M$68*'ENV|In'!$M$66^2</f>
        <v>25.899839999999998</v>
      </c>
      <c r="I7" s="55"/>
      <c r="K7" s="68">
        <f t="shared" si="3"/>
        <v>20</v>
      </c>
      <c r="L7" s="78">
        <f t="shared" si="3"/>
        <v>6.0960000000000001</v>
      </c>
      <c r="M7" s="79">
        <f t="shared" si="4"/>
        <v>0.9</v>
      </c>
      <c r="N7" s="79">
        <f t="shared" si="4"/>
        <v>25.899839999999998</v>
      </c>
      <c r="O7" s="79">
        <f t="shared" si="0"/>
        <v>1.625</v>
      </c>
      <c r="P7" s="70">
        <f t="shared" si="1"/>
        <v>35.774153999999996</v>
      </c>
      <c r="U7" t="s">
        <v>241</v>
      </c>
      <c r="V7" s="55">
        <f>V5/V3</f>
        <v>0.75</v>
      </c>
    </row>
    <row r="8" spans="2:34" x14ac:dyDescent="0.25">
      <c r="B8" s="68">
        <v>25</v>
      </c>
      <c r="C8" s="69">
        <f t="shared" si="2"/>
        <v>7.62</v>
      </c>
      <c r="D8" s="70">
        <v>0.66</v>
      </c>
      <c r="E8" s="55">
        <v>0.94</v>
      </c>
      <c r="F8" s="71">
        <v>1.1200000000000001</v>
      </c>
      <c r="G8" s="77">
        <f>HLOOKUP($G$4,$D$4:$F$27,5)</f>
        <v>0.94</v>
      </c>
      <c r="H8" s="70">
        <f>0.00256*G8*'ENV|In'!$M$73*'ENV|In'!$M$68*'ENV|In'!$M$66^2</f>
        <v>27.050943999999998</v>
      </c>
      <c r="I8" s="55"/>
      <c r="K8" s="68">
        <f t="shared" si="3"/>
        <v>25</v>
      </c>
      <c r="L8" s="78">
        <f t="shared" si="3"/>
        <v>7.62</v>
      </c>
      <c r="M8" s="79">
        <f t="shared" si="4"/>
        <v>0.94</v>
      </c>
      <c r="N8" s="79">
        <f t="shared" si="4"/>
        <v>27.050943999999998</v>
      </c>
      <c r="O8" s="79">
        <f t="shared" si="0"/>
        <v>1.625</v>
      </c>
      <c r="P8" s="70">
        <f t="shared" si="1"/>
        <v>37.364116399999993</v>
      </c>
    </row>
    <row r="9" spans="2:34" x14ac:dyDescent="0.25">
      <c r="B9" s="68">
        <v>30</v>
      </c>
      <c r="C9" s="69">
        <f t="shared" si="2"/>
        <v>9.1440000000000001</v>
      </c>
      <c r="D9" s="70">
        <v>0.7</v>
      </c>
      <c r="E9" s="55">
        <v>0.98</v>
      </c>
      <c r="F9" s="71">
        <v>1.1599999999999999</v>
      </c>
      <c r="G9" s="77">
        <f>HLOOKUP($G$4,$D$4:$F$27,6)</f>
        <v>0.98</v>
      </c>
      <c r="H9" s="70">
        <f>0.00256*G9*'ENV|In'!$M$73*'ENV|In'!$M$68*'ENV|In'!$M$66^2</f>
        <v>28.202047999999998</v>
      </c>
      <c r="I9" s="55"/>
      <c r="K9" s="68">
        <f t="shared" si="3"/>
        <v>30</v>
      </c>
      <c r="L9" s="78">
        <f t="shared" si="3"/>
        <v>9.1440000000000001</v>
      </c>
      <c r="M9" s="79">
        <f t="shared" si="4"/>
        <v>0.98</v>
      </c>
      <c r="N9" s="79">
        <f t="shared" si="4"/>
        <v>28.202047999999998</v>
      </c>
      <c r="O9" s="79">
        <f t="shared" si="0"/>
        <v>1.625</v>
      </c>
      <c r="P9" s="70">
        <f t="shared" si="1"/>
        <v>38.954078799999998</v>
      </c>
      <c r="V9" s="81"/>
      <c r="W9" s="47"/>
      <c r="X9" s="47"/>
      <c r="Y9" s="47"/>
      <c r="Z9" s="47"/>
      <c r="AA9" s="47"/>
      <c r="AB9" s="82" t="s">
        <v>241</v>
      </c>
      <c r="AC9" s="47"/>
      <c r="AD9" s="47"/>
      <c r="AE9" s="47"/>
      <c r="AF9" s="47"/>
      <c r="AG9" s="47"/>
      <c r="AH9" s="83"/>
    </row>
    <row r="10" spans="2:34" x14ac:dyDescent="0.25">
      <c r="B10" s="68">
        <v>40</v>
      </c>
      <c r="C10" s="69">
        <f t="shared" si="2"/>
        <v>12.192</v>
      </c>
      <c r="D10" s="70">
        <v>0.76</v>
      </c>
      <c r="E10" s="55">
        <v>1.04</v>
      </c>
      <c r="F10" s="71">
        <v>1.22</v>
      </c>
      <c r="G10" s="77">
        <f>HLOOKUP($G$4,$D$4:$F$27,7)</f>
        <v>1.04</v>
      </c>
      <c r="H10" s="70">
        <f>0.00256*G10*'ENV|In'!$M$73*'ENV|In'!$M$68*'ENV|In'!$M$66^2</f>
        <v>29.928704</v>
      </c>
      <c r="I10" s="55"/>
      <c r="K10" s="68">
        <f t="shared" si="3"/>
        <v>40</v>
      </c>
      <c r="L10" s="78">
        <f t="shared" si="3"/>
        <v>12.192</v>
      </c>
      <c r="M10" s="79">
        <f t="shared" si="4"/>
        <v>1.04</v>
      </c>
      <c r="N10" s="79">
        <f t="shared" si="4"/>
        <v>29.928704</v>
      </c>
      <c r="O10" s="79">
        <f t="shared" si="0"/>
        <v>1.625</v>
      </c>
      <c r="P10" s="70">
        <f t="shared" si="1"/>
        <v>41.339022399999998</v>
      </c>
      <c r="U10" s="84" t="s">
        <v>240</v>
      </c>
      <c r="V10" s="15">
        <v>0</v>
      </c>
      <c r="W10" s="15">
        <v>0.05</v>
      </c>
      <c r="X10" s="15">
        <v>0.1</v>
      </c>
      <c r="Y10" s="15">
        <v>0.2</v>
      </c>
      <c r="Z10" s="15">
        <v>0.5</v>
      </c>
      <c r="AA10" s="15">
        <v>1</v>
      </c>
      <c r="AB10" s="15">
        <v>2</v>
      </c>
      <c r="AC10" s="15">
        <v>4</v>
      </c>
      <c r="AD10" s="15">
        <v>5</v>
      </c>
      <c r="AE10" s="15">
        <v>10</v>
      </c>
      <c r="AF10" s="15">
        <v>20</v>
      </c>
      <c r="AG10" s="15">
        <v>30</v>
      </c>
      <c r="AH10" s="15">
        <v>45</v>
      </c>
    </row>
    <row r="11" spans="2:34" x14ac:dyDescent="0.25">
      <c r="B11" s="68">
        <v>50</v>
      </c>
      <c r="C11" s="69">
        <f t="shared" si="2"/>
        <v>15.24</v>
      </c>
      <c r="D11" s="70">
        <v>0.81</v>
      </c>
      <c r="E11" s="55">
        <v>1.0900000000000001</v>
      </c>
      <c r="F11" s="71">
        <v>1.27</v>
      </c>
      <c r="G11" s="77">
        <f>HLOOKUP($G$4,$D$4:$F$27,8)</f>
        <v>1.0900000000000001</v>
      </c>
      <c r="H11" s="70">
        <f>0.00256*G11*'ENV|In'!$M$73*'ENV|In'!$M$68*'ENV|In'!$M$66^2</f>
        <v>31.367584000000008</v>
      </c>
      <c r="I11" s="55"/>
      <c r="K11" s="68">
        <f t="shared" si="3"/>
        <v>50</v>
      </c>
      <c r="L11" s="78">
        <f t="shared" si="3"/>
        <v>15.24</v>
      </c>
      <c r="M11" s="79">
        <f t="shared" si="4"/>
        <v>1.0900000000000001</v>
      </c>
      <c r="N11" s="79">
        <f t="shared" si="4"/>
        <v>31.367584000000008</v>
      </c>
      <c r="O11" s="79">
        <f t="shared" si="0"/>
        <v>1.625</v>
      </c>
      <c r="P11" s="70">
        <f t="shared" si="1"/>
        <v>43.326475400000014</v>
      </c>
      <c r="U11" s="24">
        <v>1</v>
      </c>
      <c r="V11" s="23">
        <v>1.8</v>
      </c>
      <c r="W11" s="23">
        <v>1.8</v>
      </c>
      <c r="X11" s="23">
        <v>1.7</v>
      </c>
      <c r="Y11" s="23">
        <v>1.65</v>
      </c>
      <c r="Z11" s="23">
        <v>1.55</v>
      </c>
      <c r="AA11" s="23">
        <v>1.45</v>
      </c>
      <c r="AB11" s="23">
        <v>1.4</v>
      </c>
      <c r="AC11" s="23">
        <v>1.35</v>
      </c>
      <c r="AD11" s="23">
        <v>1.35</v>
      </c>
      <c r="AE11" s="23">
        <v>1.3</v>
      </c>
      <c r="AF11" s="23">
        <v>1.3</v>
      </c>
      <c r="AG11" s="23">
        <v>1.3</v>
      </c>
      <c r="AH11" s="23">
        <v>1.3</v>
      </c>
    </row>
    <row r="12" spans="2:34" x14ac:dyDescent="0.25">
      <c r="B12" s="68">
        <v>60</v>
      </c>
      <c r="C12" s="69">
        <f t="shared" si="2"/>
        <v>18.288</v>
      </c>
      <c r="D12" s="70">
        <v>0.85</v>
      </c>
      <c r="E12" s="55">
        <v>1.1299999999999999</v>
      </c>
      <c r="F12" s="71">
        <v>1.31</v>
      </c>
      <c r="G12" s="77">
        <f>HLOOKUP($G$4,$D$4:$F$27,9)</f>
        <v>1.1299999999999999</v>
      </c>
      <c r="H12" s="70">
        <f>0.00256*G12*'ENV|In'!$M$73*'ENV|In'!$M$68*'ENV|In'!$M$66^2</f>
        <v>32.518688000000004</v>
      </c>
      <c r="I12" s="55"/>
      <c r="K12" s="68">
        <f t="shared" si="3"/>
        <v>60</v>
      </c>
      <c r="L12" s="78">
        <f t="shared" si="3"/>
        <v>18.288</v>
      </c>
      <c r="M12" s="79">
        <f t="shared" si="4"/>
        <v>1.1299999999999999</v>
      </c>
      <c r="N12" s="79">
        <f t="shared" si="4"/>
        <v>32.518688000000004</v>
      </c>
      <c r="O12" s="79">
        <f t="shared" si="0"/>
        <v>1.625</v>
      </c>
      <c r="P12" s="70">
        <f t="shared" si="1"/>
        <v>44.916437800000004</v>
      </c>
      <c r="U12" s="24">
        <v>0.9</v>
      </c>
      <c r="V12" s="24">
        <v>1.85</v>
      </c>
      <c r="W12" s="24">
        <v>1.85</v>
      </c>
      <c r="X12" s="24">
        <v>1.75</v>
      </c>
      <c r="Y12" s="24">
        <v>1.7</v>
      </c>
      <c r="Z12" s="24">
        <v>1.6</v>
      </c>
      <c r="AA12" s="24">
        <v>1.55</v>
      </c>
      <c r="AB12" s="24">
        <v>1.5</v>
      </c>
      <c r="AC12" s="24">
        <v>1.45</v>
      </c>
      <c r="AD12" s="24">
        <v>1.45</v>
      </c>
      <c r="AE12" s="24">
        <v>1.4</v>
      </c>
      <c r="AF12" s="24">
        <v>1.4</v>
      </c>
      <c r="AG12" s="24">
        <v>1.4</v>
      </c>
      <c r="AH12" s="24">
        <v>1.4</v>
      </c>
    </row>
    <row r="13" spans="2:34" x14ac:dyDescent="0.25">
      <c r="B13" s="68">
        <v>70</v>
      </c>
      <c r="C13" s="69">
        <f t="shared" si="2"/>
        <v>21.336000000000002</v>
      </c>
      <c r="D13" s="70">
        <v>0.89</v>
      </c>
      <c r="E13" s="55">
        <v>1.17</v>
      </c>
      <c r="F13" s="71">
        <v>1.34</v>
      </c>
      <c r="G13" s="77">
        <f>HLOOKUP($G$4,$D$4:$F$27,10)</f>
        <v>1.17</v>
      </c>
      <c r="H13" s="70">
        <f>0.00256*G13*'ENV|In'!$M$73*'ENV|In'!$M$68*'ENV|In'!$M$66^2</f>
        <v>33.669791999999994</v>
      </c>
      <c r="I13" s="55"/>
      <c r="K13" s="68">
        <f t="shared" si="3"/>
        <v>70</v>
      </c>
      <c r="L13" s="78">
        <f t="shared" si="3"/>
        <v>21.336000000000002</v>
      </c>
      <c r="M13" s="79">
        <f t="shared" si="4"/>
        <v>1.17</v>
      </c>
      <c r="N13" s="79">
        <f t="shared" si="4"/>
        <v>33.669791999999994</v>
      </c>
      <c r="O13" s="79">
        <f t="shared" si="0"/>
        <v>1.625</v>
      </c>
      <c r="P13" s="70">
        <f t="shared" si="1"/>
        <v>46.506400199999987</v>
      </c>
      <c r="U13" s="24">
        <v>0.7</v>
      </c>
      <c r="V13" s="24">
        <v>1.9</v>
      </c>
      <c r="W13" s="24">
        <v>1.9</v>
      </c>
      <c r="X13" s="24">
        <v>1.85</v>
      </c>
      <c r="Y13" s="24">
        <v>1.75</v>
      </c>
      <c r="Z13" s="24">
        <v>1.7</v>
      </c>
      <c r="AA13" s="24">
        <v>1.65</v>
      </c>
      <c r="AB13" s="24">
        <v>1.6</v>
      </c>
      <c r="AC13" s="24">
        <v>1.6</v>
      </c>
      <c r="AD13" s="24">
        <v>1.55</v>
      </c>
      <c r="AE13" s="24">
        <v>1.55</v>
      </c>
      <c r="AF13" s="24">
        <v>1.55</v>
      </c>
      <c r="AG13" s="24">
        <v>1.55</v>
      </c>
      <c r="AH13" s="24">
        <v>1.55</v>
      </c>
    </row>
    <row r="14" spans="2:34" x14ac:dyDescent="0.25">
      <c r="B14" s="68">
        <v>80</v>
      </c>
      <c r="C14" s="69">
        <f t="shared" si="2"/>
        <v>24.384</v>
      </c>
      <c r="D14" s="70">
        <v>0.93</v>
      </c>
      <c r="E14" s="55">
        <v>1.21</v>
      </c>
      <c r="F14" s="71">
        <v>1.38</v>
      </c>
      <c r="G14" s="77">
        <f>HLOOKUP($G$4,$D$4:$F$27,11)</f>
        <v>1.21</v>
      </c>
      <c r="H14" s="70">
        <f>0.00256*G14*'ENV|In'!$M$73*'ENV|In'!$M$68*'ENV|In'!$M$66^2</f>
        <v>34.820896000000005</v>
      </c>
      <c r="I14" s="55"/>
      <c r="K14" s="68">
        <f t="shared" si="3"/>
        <v>80</v>
      </c>
      <c r="L14" s="78">
        <f t="shared" si="3"/>
        <v>24.384</v>
      </c>
      <c r="M14" s="79">
        <f t="shared" si="4"/>
        <v>1.21</v>
      </c>
      <c r="N14" s="79">
        <f t="shared" si="4"/>
        <v>34.820896000000005</v>
      </c>
      <c r="O14" s="79">
        <f t="shared" si="0"/>
        <v>1.625</v>
      </c>
      <c r="P14" s="70">
        <f t="shared" si="1"/>
        <v>48.096362600000006</v>
      </c>
      <c r="U14" s="24">
        <v>0.5</v>
      </c>
      <c r="V14" s="24">
        <v>1.95</v>
      </c>
      <c r="W14" s="24">
        <v>1.95</v>
      </c>
      <c r="X14" s="24">
        <v>1.85</v>
      </c>
      <c r="Y14" s="24">
        <v>1.8</v>
      </c>
      <c r="Z14" s="24">
        <v>1.75</v>
      </c>
      <c r="AA14" s="24">
        <v>1.75</v>
      </c>
      <c r="AB14" s="24">
        <v>1.7</v>
      </c>
      <c r="AC14" s="24">
        <v>1.7</v>
      </c>
      <c r="AD14" s="24">
        <v>1.7</v>
      </c>
      <c r="AE14" s="24">
        <v>1.7</v>
      </c>
      <c r="AF14" s="24">
        <v>1.7</v>
      </c>
      <c r="AG14" s="24">
        <v>1.7</v>
      </c>
      <c r="AH14" s="24">
        <v>1.75</v>
      </c>
    </row>
    <row r="15" spans="2:34" x14ac:dyDescent="0.25">
      <c r="B15" s="68">
        <v>90</v>
      </c>
      <c r="C15" s="69">
        <f t="shared" si="2"/>
        <v>27.432000000000002</v>
      </c>
      <c r="D15" s="70">
        <v>0.96</v>
      </c>
      <c r="E15" s="55">
        <v>1.24</v>
      </c>
      <c r="F15" s="71">
        <v>1.4</v>
      </c>
      <c r="G15" s="77">
        <f>HLOOKUP($G$4,$D$4:$F$27,12)</f>
        <v>1.24</v>
      </c>
      <c r="H15" s="70">
        <f>0.00256*G15*'ENV|In'!$M$73*'ENV|In'!$M$68*'ENV|In'!$M$66^2</f>
        <v>35.684224</v>
      </c>
      <c r="I15" s="55"/>
      <c r="K15" s="68">
        <f t="shared" si="3"/>
        <v>90</v>
      </c>
      <c r="L15" s="78">
        <f t="shared" si="3"/>
        <v>27.432000000000002</v>
      </c>
      <c r="M15" s="79">
        <f t="shared" si="4"/>
        <v>1.24</v>
      </c>
      <c r="N15" s="79">
        <f t="shared" si="4"/>
        <v>35.684224</v>
      </c>
      <c r="O15" s="79">
        <f t="shared" si="0"/>
        <v>1.625</v>
      </c>
      <c r="P15" s="70">
        <f t="shared" si="1"/>
        <v>49.288834399999999</v>
      </c>
      <c r="U15" s="24">
        <v>0.3</v>
      </c>
      <c r="V15" s="24">
        <v>1.95</v>
      </c>
      <c r="W15" s="24">
        <v>1.95</v>
      </c>
      <c r="X15" s="24">
        <v>1.9</v>
      </c>
      <c r="Y15" s="24">
        <v>1.85</v>
      </c>
      <c r="Z15" s="24">
        <v>1.8</v>
      </c>
      <c r="AA15" s="24">
        <v>1.8</v>
      </c>
      <c r="AB15" s="24">
        <v>1.8</v>
      </c>
      <c r="AC15" s="24">
        <v>1.8</v>
      </c>
      <c r="AD15" s="24">
        <v>1.8</v>
      </c>
      <c r="AE15" s="24">
        <v>1.8</v>
      </c>
      <c r="AF15" s="24">
        <v>1.85</v>
      </c>
      <c r="AG15" s="24">
        <v>1.85</v>
      </c>
      <c r="AH15" s="24">
        <v>1.85</v>
      </c>
    </row>
    <row r="16" spans="2:34" x14ac:dyDescent="0.25">
      <c r="B16" s="68">
        <v>100</v>
      </c>
      <c r="C16" s="69">
        <f t="shared" si="2"/>
        <v>30.48</v>
      </c>
      <c r="D16" s="70">
        <v>0.99</v>
      </c>
      <c r="E16" s="55">
        <v>1.26</v>
      </c>
      <c r="F16" s="71">
        <v>1.43</v>
      </c>
      <c r="G16" s="77">
        <f>HLOOKUP($G$4,$D$4:$F$27,13)</f>
        <v>1.26</v>
      </c>
      <c r="H16" s="70">
        <f>0.00256*G16*'ENV|In'!$M$73*'ENV|In'!$M$68*'ENV|In'!$M$66^2</f>
        <v>36.259776000000002</v>
      </c>
      <c r="I16" s="55"/>
      <c r="K16" s="68">
        <f t="shared" si="3"/>
        <v>100</v>
      </c>
      <c r="L16" s="78">
        <f t="shared" si="3"/>
        <v>30.48</v>
      </c>
      <c r="M16" s="79">
        <f t="shared" si="4"/>
        <v>1.26</v>
      </c>
      <c r="N16" s="79">
        <f t="shared" si="4"/>
        <v>36.259776000000002</v>
      </c>
      <c r="O16" s="79">
        <f t="shared" si="0"/>
        <v>1.625</v>
      </c>
      <c r="P16" s="70">
        <f t="shared" si="1"/>
        <v>50.083815600000001</v>
      </c>
      <c r="U16" s="24">
        <v>0.2</v>
      </c>
      <c r="V16" s="24">
        <v>1.95</v>
      </c>
      <c r="W16" s="24">
        <v>1.95</v>
      </c>
      <c r="X16" s="24">
        <v>1.9</v>
      </c>
      <c r="Y16" s="24">
        <v>1.85</v>
      </c>
      <c r="Z16" s="24">
        <v>1.8</v>
      </c>
      <c r="AA16" s="24">
        <v>1.8</v>
      </c>
      <c r="AB16" s="24">
        <v>1.8</v>
      </c>
      <c r="AC16" s="24">
        <v>1.8</v>
      </c>
      <c r="AD16" s="24">
        <v>1.8</v>
      </c>
      <c r="AE16" s="24">
        <v>1.85</v>
      </c>
      <c r="AF16" s="24">
        <v>1.9</v>
      </c>
      <c r="AG16" s="24">
        <v>1.9</v>
      </c>
      <c r="AH16" s="24">
        <v>1.95</v>
      </c>
    </row>
    <row r="17" spans="2:36" x14ac:dyDescent="0.25">
      <c r="B17" s="68">
        <v>120</v>
      </c>
      <c r="C17" s="69">
        <f t="shared" si="2"/>
        <v>36.576000000000001</v>
      </c>
      <c r="D17" s="70">
        <v>1.04</v>
      </c>
      <c r="E17" s="55">
        <v>1.31</v>
      </c>
      <c r="F17" s="71">
        <v>1.48</v>
      </c>
      <c r="G17" s="77">
        <f>HLOOKUP($G$4,$D$4:$F$27,14)</f>
        <v>1.31</v>
      </c>
      <c r="H17" s="70">
        <f>0.00256*G17*'ENV|In'!$M$73*'ENV|In'!$M$68*'ENV|In'!$M$66^2</f>
        <v>37.698656</v>
      </c>
      <c r="I17" s="55"/>
      <c r="K17" s="68">
        <f t="shared" si="3"/>
        <v>120</v>
      </c>
      <c r="L17" s="78">
        <f t="shared" si="3"/>
        <v>36.576000000000001</v>
      </c>
      <c r="M17" s="79">
        <f t="shared" si="4"/>
        <v>1.31</v>
      </c>
      <c r="N17" s="79">
        <f t="shared" si="4"/>
        <v>37.698656</v>
      </c>
      <c r="O17" s="79">
        <f t="shared" si="0"/>
        <v>1.625</v>
      </c>
      <c r="P17" s="70">
        <f t="shared" si="1"/>
        <v>52.071268599999996</v>
      </c>
      <c r="U17" s="24">
        <v>0.16</v>
      </c>
      <c r="V17" s="24">
        <v>1.95</v>
      </c>
      <c r="W17" s="24">
        <v>1.9</v>
      </c>
      <c r="X17" s="24">
        <v>1.85</v>
      </c>
      <c r="Y17" s="24">
        <v>1.8</v>
      </c>
      <c r="Z17" s="24">
        <v>1.8</v>
      </c>
      <c r="AA17" s="24">
        <v>1.8</v>
      </c>
      <c r="AB17" s="24">
        <v>1.8</v>
      </c>
      <c r="AC17" s="24">
        <v>1.8</v>
      </c>
      <c r="AD17" s="24">
        <v>1.8</v>
      </c>
      <c r="AE17" s="24">
        <v>1.85</v>
      </c>
      <c r="AF17" s="24">
        <v>1.9</v>
      </c>
      <c r="AG17" s="24">
        <v>1.9</v>
      </c>
      <c r="AH17" s="24">
        <v>1.95</v>
      </c>
    </row>
    <row r="18" spans="2:36" x14ac:dyDescent="0.25">
      <c r="B18" s="68">
        <v>140</v>
      </c>
      <c r="C18" s="69">
        <f t="shared" si="2"/>
        <v>42.672000000000004</v>
      </c>
      <c r="D18" s="70">
        <v>1.0900000000000001</v>
      </c>
      <c r="E18" s="55">
        <v>1.36</v>
      </c>
      <c r="F18" s="71">
        <v>1.52</v>
      </c>
      <c r="G18" s="77">
        <f>HLOOKUP($G$4,$D$4:$F$27,15)</f>
        <v>1.36</v>
      </c>
      <c r="H18" s="70">
        <f>0.00256*G18*'ENV|In'!$M$73*'ENV|In'!$M$68*'ENV|In'!$M$66^2</f>
        <v>39.137536000000004</v>
      </c>
      <c r="I18" s="55"/>
      <c r="K18" s="68">
        <f t="shared" si="3"/>
        <v>140</v>
      </c>
      <c r="L18" s="78">
        <f t="shared" si="3"/>
        <v>42.672000000000004</v>
      </c>
      <c r="M18" s="79">
        <f t="shared" si="4"/>
        <v>1.36</v>
      </c>
      <c r="N18" s="79">
        <f t="shared" si="4"/>
        <v>39.137536000000004</v>
      </c>
      <c r="O18" s="79">
        <f t="shared" si="0"/>
        <v>1.625</v>
      </c>
      <c r="P18" s="70">
        <f t="shared" si="1"/>
        <v>54.058721599999998</v>
      </c>
      <c r="U18" s="15">
        <v>0</v>
      </c>
      <c r="V18" s="15">
        <v>1.95</v>
      </c>
      <c r="W18" s="15">
        <v>1.9</v>
      </c>
      <c r="X18" s="15">
        <v>1.85</v>
      </c>
      <c r="Y18" s="15">
        <v>1.8</v>
      </c>
      <c r="Z18" s="15">
        <v>1.8</v>
      </c>
      <c r="AA18" s="15">
        <v>1.8</v>
      </c>
      <c r="AB18" s="15">
        <v>1.8</v>
      </c>
      <c r="AC18" s="15">
        <v>1.8</v>
      </c>
      <c r="AD18" s="15">
        <v>1.8</v>
      </c>
      <c r="AE18" s="15">
        <v>1.85</v>
      </c>
      <c r="AF18" s="15">
        <v>1.9</v>
      </c>
      <c r="AG18" s="15">
        <v>1.9</v>
      </c>
      <c r="AH18" s="15">
        <v>1.95</v>
      </c>
    </row>
    <row r="19" spans="2:36" x14ac:dyDescent="0.25">
      <c r="B19" s="68">
        <v>160</v>
      </c>
      <c r="C19" s="69">
        <f t="shared" si="2"/>
        <v>48.768000000000001</v>
      </c>
      <c r="D19" s="70">
        <v>1.1299999999999999</v>
      </c>
      <c r="E19" s="55">
        <v>1.39</v>
      </c>
      <c r="F19" s="71">
        <v>1.55</v>
      </c>
      <c r="G19" s="77">
        <f>HLOOKUP($G$4,$D$4:$F$27,16)</f>
        <v>1.39</v>
      </c>
      <c r="H19" s="70">
        <f>0.00256*G19*'ENV|In'!$M$73*'ENV|In'!$M$68*'ENV|In'!$M$66^2</f>
        <v>40.000864</v>
      </c>
      <c r="I19" s="55"/>
      <c r="K19" s="68">
        <f t="shared" si="3"/>
        <v>160</v>
      </c>
      <c r="L19" s="78">
        <f t="shared" si="3"/>
        <v>48.768000000000001</v>
      </c>
      <c r="M19" s="79">
        <f t="shared" si="4"/>
        <v>1.39</v>
      </c>
      <c r="N19" s="79">
        <f t="shared" si="4"/>
        <v>40.000864</v>
      </c>
      <c r="O19" s="79">
        <f t="shared" si="0"/>
        <v>1.625</v>
      </c>
      <c r="P19" s="70">
        <f t="shared" si="1"/>
        <v>55.251193399999998</v>
      </c>
    </row>
    <row r="20" spans="2:36" x14ac:dyDescent="0.25">
      <c r="B20" s="68">
        <v>180</v>
      </c>
      <c r="C20" s="69">
        <f t="shared" si="2"/>
        <v>54.864000000000004</v>
      </c>
      <c r="D20" s="70">
        <v>1.17</v>
      </c>
      <c r="E20" s="55">
        <v>1.43</v>
      </c>
      <c r="F20" s="71">
        <v>1.58</v>
      </c>
      <c r="G20" s="77">
        <f>HLOOKUP($G$4,$D$4:$F$27,17)</f>
        <v>1.43</v>
      </c>
      <c r="H20" s="70">
        <f>0.00256*G20*'ENV|In'!$M$73*'ENV|In'!$M$68*'ENV|In'!$M$66^2</f>
        <v>41.151967999999997</v>
      </c>
      <c r="I20" s="55"/>
      <c r="K20" s="68">
        <f t="shared" si="3"/>
        <v>180</v>
      </c>
      <c r="L20" s="78">
        <f t="shared" si="3"/>
        <v>54.864000000000004</v>
      </c>
      <c r="M20" s="79">
        <f t="shared" si="4"/>
        <v>1.43</v>
      </c>
      <c r="N20" s="79">
        <f t="shared" si="4"/>
        <v>41.151967999999997</v>
      </c>
      <c r="O20" s="79">
        <f t="shared" si="0"/>
        <v>1.625</v>
      </c>
      <c r="P20" s="70">
        <f t="shared" si="1"/>
        <v>56.841155799999989</v>
      </c>
      <c r="U20" s="86">
        <f>INDEX(U11:U18,MATCH(V6,U11:U18,-1))</f>
        <v>0.9</v>
      </c>
      <c r="V20" s="87">
        <f>VLOOKUP($U$20,$U$11:$AH$18,2,FALSE)</f>
        <v>1.85</v>
      </c>
      <c r="W20" s="87">
        <f>VLOOKUP($U$20,$U$11:$AH$18,3,FALSE)</f>
        <v>1.85</v>
      </c>
      <c r="X20" s="87">
        <f>VLOOKUP($U$20,$U$11:$AH$18,4,FALSE)</f>
        <v>1.75</v>
      </c>
      <c r="Y20" s="87">
        <f>VLOOKUP($U$20,$U$11:$AH$18,5,FALSE)</f>
        <v>1.7</v>
      </c>
      <c r="Z20" s="87">
        <f>VLOOKUP($U$20,$U$11:$AH$18,6,FALSE)</f>
        <v>1.6</v>
      </c>
      <c r="AA20" s="87">
        <f>VLOOKUP($U$20,$U$11:$AH$18,7,FALSE)</f>
        <v>1.55</v>
      </c>
      <c r="AB20" s="87">
        <f>VLOOKUP($U$20,$U$11:$AH$18,8,FALSE)</f>
        <v>1.5</v>
      </c>
      <c r="AC20" s="87">
        <f>VLOOKUP($U$20,$U$11:$AH$18,9,FALSE)</f>
        <v>1.45</v>
      </c>
      <c r="AD20" s="87">
        <f>VLOOKUP($U$20,$U$11:$AH$18,10,FALSE)</f>
        <v>1.45</v>
      </c>
      <c r="AE20" s="87">
        <f>VLOOKUP($U$20,$U$11:$AH$18,11,FALSE)</f>
        <v>1.4</v>
      </c>
      <c r="AF20" s="87">
        <f>VLOOKUP($U$20,$U$11:$AH$18,12,FALSE)</f>
        <v>1.4</v>
      </c>
      <c r="AG20" s="87">
        <f>VLOOKUP($U$20,$U$11:$AH$18,13,FALSE)</f>
        <v>1.4</v>
      </c>
      <c r="AH20" s="88">
        <f>VLOOKUP($U$20,$U$11:$AH$18,14,FALSE)</f>
        <v>1.4</v>
      </c>
      <c r="AI20" s="86">
        <f>INDEX(V20:AH20,MATCH($V$7,$V$10:$AH$10,1))</f>
        <v>1.6</v>
      </c>
      <c r="AJ20" s="88">
        <f>INDEX(V20:AH20,MATCH($V$7,$V$10:$AH$10,1)+1)</f>
        <v>1.55</v>
      </c>
    </row>
    <row r="21" spans="2:36" x14ac:dyDescent="0.25">
      <c r="B21" s="68">
        <v>200</v>
      </c>
      <c r="C21" s="69">
        <f t="shared" si="2"/>
        <v>60.96</v>
      </c>
      <c r="D21" s="70">
        <v>1.2</v>
      </c>
      <c r="E21" s="55">
        <v>1.46</v>
      </c>
      <c r="F21" s="71">
        <v>1.61</v>
      </c>
      <c r="G21" s="77">
        <f>HLOOKUP($G$4,$D$4:$F$27,18)</f>
        <v>1.46</v>
      </c>
      <c r="H21" s="70">
        <f>0.00256*G21*'ENV|In'!$M$73*'ENV|In'!$M$68*'ENV|In'!$M$66^2</f>
        <v>42.015295999999999</v>
      </c>
      <c r="I21" s="55"/>
      <c r="K21" s="68">
        <f t="shared" si="3"/>
        <v>200</v>
      </c>
      <c r="L21" s="78">
        <f t="shared" si="3"/>
        <v>60.96</v>
      </c>
      <c r="M21" s="79">
        <f t="shared" si="4"/>
        <v>1.46</v>
      </c>
      <c r="N21" s="79">
        <f t="shared" si="4"/>
        <v>42.015295999999999</v>
      </c>
      <c r="O21" s="79">
        <f t="shared" si="0"/>
        <v>1.625</v>
      </c>
      <c r="P21" s="70">
        <f t="shared" si="1"/>
        <v>58.033627599999996</v>
      </c>
      <c r="U21" s="89">
        <f>INDEX(U11:U18,MATCH(V6,U11:U18,-1)+1)</f>
        <v>0.7</v>
      </c>
      <c r="V21" s="90">
        <f>VLOOKUP($U$21,$U$11:$AH$18,2,FALSE)</f>
        <v>1.9</v>
      </c>
      <c r="W21" s="90">
        <f>VLOOKUP($U$21,$U$11:$AH$18,3,FALSE)</f>
        <v>1.9</v>
      </c>
      <c r="X21" s="90">
        <f>VLOOKUP($U$21,$U$11:$AH$18,4,FALSE)</f>
        <v>1.85</v>
      </c>
      <c r="Y21" s="90">
        <f>VLOOKUP($U$21,$U$11:$AH$18,5,FALSE)</f>
        <v>1.75</v>
      </c>
      <c r="Z21" s="90">
        <f>VLOOKUP($U$21,$U$11:$AH$18,6,FALSE)</f>
        <v>1.7</v>
      </c>
      <c r="AA21" s="90">
        <f>VLOOKUP($U$21,$U$11:$AH$18,7,FALSE)</f>
        <v>1.65</v>
      </c>
      <c r="AB21" s="90">
        <f>VLOOKUP($U$21,$U$11:$AH$18,8,FALSE)</f>
        <v>1.6</v>
      </c>
      <c r="AC21" s="90">
        <f>VLOOKUP($U$21,$U$11:$AH$18,9,FALSE)</f>
        <v>1.6</v>
      </c>
      <c r="AD21" s="90">
        <f>VLOOKUP($U$21,$U$11:$AH$18,10,FALSE)</f>
        <v>1.55</v>
      </c>
      <c r="AE21" s="90">
        <f>VLOOKUP($U$21,$U$11:$AH$18,11,FALSE)</f>
        <v>1.55</v>
      </c>
      <c r="AF21" s="90">
        <f>VLOOKUP($U$21,$U$11:$AH$18,12,FALSE)</f>
        <v>1.55</v>
      </c>
      <c r="AG21" s="90">
        <f>VLOOKUP($U$21,$U$11:$AH$18,13,FALSE)</f>
        <v>1.55</v>
      </c>
      <c r="AH21" s="91">
        <f>VLOOKUP($U$21,$U$11:$AH$18,14,FALSE)</f>
        <v>1.55</v>
      </c>
      <c r="AI21" s="89">
        <f>INDEX(V21:AH21,MATCH($V$7,$V$10:$AH$10,1))</f>
        <v>1.7</v>
      </c>
      <c r="AJ21" s="91">
        <f>INDEX(V21:AH21,MATCH($V$7,$V$10:$AH$10,1)+1)</f>
        <v>1.65</v>
      </c>
    </row>
    <row r="22" spans="2:36" x14ac:dyDescent="0.25">
      <c r="B22" s="68">
        <v>250</v>
      </c>
      <c r="C22" s="69">
        <f t="shared" si="2"/>
        <v>76.2</v>
      </c>
      <c r="D22" s="70">
        <v>1.28</v>
      </c>
      <c r="E22" s="55">
        <v>1.53</v>
      </c>
      <c r="F22" s="71">
        <v>1.68</v>
      </c>
      <c r="G22" s="77">
        <f>HLOOKUP($G$4,$D$4:$F$27,19)</f>
        <v>1.53</v>
      </c>
      <c r="H22" s="70">
        <f>0.00256*G22*'ENV|In'!$M$73*'ENV|In'!$M$68*'ENV|In'!$M$66^2</f>
        <v>44.029728000000006</v>
      </c>
      <c r="I22" s="55"/>
      <c r="K22" s="68">
        <f t="shared" si="3"/>
        <v>250</v>
      </c>
      <c r="L22" s="78">
        <f t="shared" si="3"/>
        <v>76.2</v>
      </c>
      <c r="M22" s="79">
        <f t="shared" si="4"/>
        <v>1.53</v>
      </c>
      <c r="N22" s="79">
        <f t="shared" si="4"/>
        <v>44.029728000000006</v>
      </c>
      <c r="O22" s="79">
        <f t="shared" si="0"/>
        <v>1.625</v>
      </c>
      <c r="P22" s="70">
        <f t="shared" si="1"/>
        <v>60.816061800000007</v>
      </c>
    </row>
    <row r="23" spans="2:36" x14ac:dyDescent="0.25">
      <c r="B23" s="68">
        <v>300</v>
      </c>
      <c r="C23" s="69">
        <f t="shared" si="2"/>
        <v>91.44</v>
      </c>
      <c r="D23" s="70">
        <v>1.35</v>
      </c>
      <c r="E23" s="55">
        <v>1.59</v>
      </c>
      <c r="F23" s="71">
        <v>1.73</v>
      </c>
      <c r="G23" s="77">
        <f>HLOOKUP($G$4,$D$4:$F$27,20)</f>
        <v>1.59</v>
      </c>
      <c r="H23" s="70">
        <f>0.00256*G23*'ENV|In'!$M$73*'ENV|In'!$M$68*'ENV|In'!$M$66^2</f>
        <v>45.756384000000004</v>
      </c>
      <c r="I23" s="55"/>
      <c r="K23" s="68">
        <f t="shared" si="3"/>
        <v>300</v>
      </c>
      <c r="L23" s="78">
        <f t="shared" si="3"/>
        <v>91.44</v>
      </c>
      <c r="M23" s="79">
        <f t="shared" si="4"/>
        <v>1.59</v>
      </c>
      <c r="N23" s="79">
        <f t="shared" si="4"/>
        <v>45.756384000000004</v>
      </c>
      <c r="O23" s="79">
        <f t="shared" si="0"/>
        <v>1.625</v>
      </c>
      <c r="P23" s="70">
        <f t="shared" si="1"/>
        <v>63.2010054</v>
      </c>
      <c r="AI23" s="92">
        <f>((AI21-AI20)/(U21-U20))*V6+(AI20-((AI21-AI20)/(U21-U20))*U20)</f>
        <v>1.65</v>
      </c>
      <c r="AJ23" s="92">
        <f>((AJ21-AJ20)/(U21-U20))*V6+(AJ20-((AJ21-AJ20)/(U21-U20))*U20)</f>
        <v>1.6</v>
      </c>
    </row>
    <row r="24" spans="2:36" x14ac:dyDescent="0.25">
      <c r="B24" s="68">
        <v>350</v>
      </c>
      <c r="C24" s="69">
        <f t="shared" si="2"/>
        <v>106.68</v>
      </c>
      <c r="D24" s="70">
        <v>1.41</v>
      </c>
      <c r="E24" s="55">
        <v>1.64</v>
      </c>
      <c r="F24" s="71">
        <v>1.78</v>
      </c>
      <c r="G24" s="77">
        <f>HLOOKUP($G$4,$D$4:$F$27,21)</f>
        <v>1.64</v>
      </c>
      <c r="H24" s="70">
        <f>0.00256*G24*'ENV|In'!$M$73*'ENV|In'!$M$68*'ENV|In'!$M$66^2</f>
        <v>47.195263999999995</v>
      </c>
      <c r="I24" s="55"/>
      <c r="K24" s="68">
        <f t="shared" si="3"/>
        <v>350</v>
      </c>
      <c r="L24" s="78">
        <f t="shared" si="3"/>
        <v>106.68</v>
      </c>
      <c r="M24" s="79">
        <f t="shared" si="4"/>
        <v>1.64</v>
      </c>
      <c r="N24" s="79">
        <f t="shared" si="4"/>
        <v>47.195263999999995</v>
      </c>
      <c r="O24" s="79">
        <f t="shared" si="0"/>
        <v>1.625</v>
      </c>
      <c r="P24" s="70">
        <f t="shared" si="1"/>
        <v>65.188458399999988</v>
      </c>
    </row>
    <row r="25" spans="2:36" ht="18" x14ac:dyDescent="0.25">
      <c r="B25" s="68">
        <v>400</v>
      </c>
      <c r="C25" s="69">
        <f t="shared" si="2"/>
        <v>121.92</v>
      </c>
      <c r="D25" s="70">
        <v>1.47</v>
      </c>
      <c r="E25" s="55">
        <v>1.69</v>
      </c>
      <c r="F25" s="71">
        <v>1.82</v>
      </c>
      <c r="G25" s="77">
        <f>HLOOKUP($G$4,$D$4:$F$27,22)</f>
        <v>1.69</v>
      </c>
      <c r="H25" s="70">
        <f>0.00256*G25*'ENV|In'!$M$73*'ENV|In'!$M$68*'ENV|In'!$M$66^2</f>
        <v>48.634143999999999</v>
      </c>
      <c r="I25" s="55"/>
      <c r="K25" s="68">
        <f t="shared" si="3"/>
        <v>400</v>
      </c>
      <c r="L25" s="78">
        <f t="shared" si="3"/>
        <v>121.92</v>
      </c>
      <c r="M25" s="79">
        <f t="shared" si="4"/>
        <v>1.69</v>
      </c>
      <c r="N25" s="79">
        <f t="shared" si="4"/>
        <v>48.634143999999999</v>
      </c>
      <c r="O25" s="79">
        <f t="shared" si="0"/>
        <v>1.625</v>
      </c>
      <c r="P25" s="70">
        <f t="shared" si="1"/>
        <v>67.17591139999999</v>
      </c>
      <c r="AH25" s="93" t="s">
        <v>248</v>
      </c>
      <c r="AI25" s="92">
        <f>((AJ23-AI23)/(U21-U20))*V6+(AI23-((AJ23-AI23)/(U21-U20))*U20)</f>
        <v>1.625</v>
      </c>
    </row>
    <row r="26" spans="2:36" x14ac:dyDescent="0.25">
      <c r="B26" s="68">
        <v>450</v>
      </c>
      <c r="C26" s="69">
        <f t="shared" si="2"/>
        <v>137.16</v>
      </c>
      <c r="D26" s="70">
        <v>1.52</v>
      </c>
      <c r="E26" s="55">
        <v>1.73</v>
      </c>
      <c r="F26" s="71">
        <v>1.86</v>
      </c>
      <c r="G26" s="77">
        <f>HLOOKUP($G$4,$D$4:$F$27,23)</f>
        <v>1.73</v>
      </c>
      <c r="H26" s="70">
        <f>0.00256*G26*'ENV|In'!$M$73*'ENV|In'!$M$68*'ENV|In'!$M$66^2</f>
        <v>49.785248000000003</v>
      </c>
      <c r="I26" s="55"/>
      <c r="K26" s="68">
        <f t="shared" si="3"/>
        <v>450</v>
      </c>
      <c r="L26" s="78">
        <f t="shared" si="3"/>
        <v>137.16</v>
      </c>
      <c r="M26" s="79">
        <f t="shared" si="4"/>
        <v>1.73</v>
      </c>
      <c r="N26" s="79">
        <f t="shared" si="4"/>
        <v>49.785248000000003</v>
      </c>
      <c r="O26" s="79">
        <f t="shared" si="0"/>
        <v>1.625</v>
      </c>
      <c r="P26" s="70">
        <f t="shared" si="1"/>
        <v>68.765873799999994</v>
      </c>
    </row>
    <row r="27" spans="2:36" x14ac:dyDescent="0.25">
      <c r="B27" s="94">
        <v>500</v>
      </c>
      <c r="C27" s="95">
        <f t="shared" si="2"/>
        <v>152.4</v>
      </c>
      <c r="D27" s="96">
        <v>1.56</v>
      </c>
      <c r="E27" s="97">
        <v>1.77</v>
      </c>
      <c r="F27" s="98">
        <v>1.89</v>
      </c>
      <c r="G27" s="99">
        <f>HLOOKUP($G$4,$D$4:$F$27,24)</f>
        <v>1.77</v>
      </c>
      <c r="H27" s="96">
        <f>0.00256*G27*'ENV|In'!$M$73*'ENV|In'!$M$68*'ENV|In'!$M$66^2</f>
        <v>50.936351999999999</v>
      </c>
      <c r="I27" s="55"/>
      <c r="K27" s="94">
        <f t="shared" si="3"/>
        <v>500</v>
      </c>
      <c r="L27" s="100">
        <f t="shared" si="3"/>
        <v>152.4</v>
      </c>
      <c r="M27" s="101">
        <f t="shared" si="4"/>
        <v>1.77</v>
      </c>
      <c r="N27" s="101">
        <f t="shared" si="4"/>
        <v>50.936351999999999</v>
      </c>
      <c r="O27" s="101">
        <f t="shared" si="0"/>
        <v>1.625</v>
      </c>
      <c r="P27" s="96">
        <f t="shared" si="1"/>
        <v>70.355836199999999</v>
      </c>
    </row>
    <row r="28" spans="2:36" x14ac:dyDescent="0.25">
      <c r="B28" s="102" t="s">
        <v>252</v>
      </c>
      <c r="C28" s="69"/>
      <c r="D28" s="55"/>
      <c r="E28" s="55"/>
      <c r="F28" s="55"/>
      <c r="G28" s="103"/>
      <c r="H28" s="55"/>
      <c r="I28" s="55"/>
      <c r="K28" s="102" t="s">
        <v>252</v>
      </c>
    </row>
    <row r="29" spans="2:36" x14ac:dyDescent="0.25">
      <c r="B29" s="104" t="s">
        <v>179</v>
      </c>
      <c r="K29" s="104" t="s">
        <v>179</v>
      </c>
    </row>
    <row r="30" spans="2:36" x14ac:dyDescent="0.25">
      <c r="B30" s="104" t="s">
        <v>178</v>
      </c>
      <c r="K30" s="104" t="s">
        <v>178</v>
      </c>
    </row>
    <row r="31" spans="2:36" x14ac:dyDescent="0.25">
      <c r="B31" s="104"/>
      <c r="K31" s="104" t="s">
        <v>254</v>
      </c>
    </row>
    <row r="32" spans="2:36" x14ac:dyDescent="0.25">
      <c r="K32" s="104" t="s">
        <v>253</v>
      </c>
    </row>
    <row r="47" spans="2:21" ht="18" x14ac:dyDescent="0.25">
      <c r="B47" s="41" t="s">
        <v>174</v>
      </c>
      <c r="K47" s="41" t="s">
        <v>174</v>
      </c>
      <c r="U47" t="s">
        <v>376</v>
      </c>
    </row>
    <row r="48" spans="2:21" ht="18" customHeight="1" x14ac:dyDescent="0.25">
      <c r="B48" s="316" t="s">
        <v>153</v>
      </c>
      <c r="C48" s="317"/>
      <c r="D48" s="320" t="s">
        <v>154</v>
      </c>
      <c r="E48" s="321"/>
      <c r="F48" s="322"/>
      <c r="G48" s="48" t="s">
        <v>155</v>
      </c>
      <c r="H48" s="57" t="s">
        <v>156</v>
      </c>
      <c r="K48" s="316" t="s">
        <v>153</v>
      </c>
      <c r="L48" s="317"/>
      <c r="M48" s="48" t="s">
        <v>155</v>
      </c>
      <c r="N48" s="48" t="s">
        <v>156</v>
      </c>
      <c r="O48" s="48" t="s">
        <v>260</v>
      </c>
      <c r="P48" s="48" t="s">
        <v>251</v>
      </c>
      <c r="Q48" s="57" t="s">
        <v>157</v>
      </c>
      <c r="U48" s="4" t="s">
        <v>255</v>
      </c>
    </row>
    <row r="49" spans="2:27" x14ac:dyDescent="0.25">
      <c r="B49" s="318"/>
      <c r="C49" s="319"/>
      <c r="D49" s="323"/>
      <c r="E49" s="324"/>
      <c r="F49" s="325"/>
      <c r="G49" s="58" t="s">
        <v>175</v>
      </c>
      <c r="H49" s="59" t="s">
        <v>176</v>
      </c>
      <c r="K49" s="318"/>
      <c r="L49" s="319"/>
      <c r="M49" s="58" t="s">
        <v>175</v>
      </c>
      <c r="N49" s="58" t="s">
        <v>176</v>
      </c>
      <c r="O49" s="58" t="s">
        <v>177</v>
      </c>
      <c r="P49" s="59" t="s">
        <v>192</v>
      </c>
      <c r="Q49" s="59" t="s">
        <v>194</v>
      </c>
      <c r="U49" t="s">
        <v>10</v>
      </c>
      <c r="V49" s="109">
        <v>0.25</v>
      </c>
      <c r="W49" t="s">
        <v>87</v>
      </c>
    </row>
    <row r="50" spans="2:27" x14ac:dyDescent="0.25">
      <c r="B50" s="46" t="s">
        <v>158</v>
      </c>
      <c r="C50" s="46" t="s">
        <v>159</v>
      </c>
      <c r="D50" s="62" t="s">
        <v>14</v>
      </c>
      <c r="E50" s="46" t="s">
        <v>15</v>
      </c>
      <c r="F50" s="63" t="s">
        <v>10</v>
      </c>
      <c r="G50" s="64" t="str">
        <f>'ENV|In'!M74</f>
        <v>C</v>
      </c>
      <c r="H50" s="65" t="s">
        <v>160</v>
      </c>
      <c r="K50" s="46" t="s">
        <v>158</v>
      </c>
      <c r="L50" s="46" t="s">
        <v>159</v>
      </c>
      <c r="M50" s="66" t="str">
        <f t="shared" ref="M50:M73" si="5">G50</f>
        <v>C</v>
      </c>
      <c r="N50" s="67" t="s">
        <v>160</v>
      </c>
      <c r="O50" s="25" t="s">
        <v>180</v>
      </c>
      <c r="P50" s="67" t="s">
        <v>180</v>
      </c>
      <c r="Q50" s="65" t="s">
        <v>160</v>
      </c>
      <c r="U50" t="s">
        <v>258</v>
      </c>
      <c r="V50" s="110">
        <v>0</v>
      </c>
      <c r="W50" t="s">
        <v>87</v>
      </c>
    </row>
    <row r="51" spans="2:27" x14ac:dyDescent="0.25">
      <c r="B51" s="68">
        <v>0</v>
      </c>
      <c r="C51" s="69">
        <f>B51*0.3048</f>
        <v>0</v>
      </c>
      <c r="D51" s="70">
        <v>0.56999999999999995</v>
      </c>
      <c r="E51" s="55">
        <v>0.85</v>
      </c>
      <c r="F51" s="71">
        <v>1.03</v>
      </c>
      <c r="G51" s="72">
        <f>HLOOKUP($G$4,$D$4:$F$27,2)</f>
        <v>0.85</v>
      </c>
      <c r="H51" s="73">
        <f>0.00256*G51*'ENV|In'!$M$73*'ENV|In'!$M$68*'ENV|In'!$M$66^2</f>
        <v>24.460959999999996</v>
      </c>
      <c r="K51" s="74">
        <f t="shared" ref="K51:K73" si="6">B51</f>
        <v>0</v>
      </c>
      <c r="L51" s="75">
        <f t="shared" ref="L51:L73" si="7">C51</f>
        <v>0</v>
      </c>
      <c r="M51" s="76">
        <f t="shared" si="5"/>
        <v>0.85</v>
      </c>
      <c r="N51" s="76">
        <f t="shared" ref="N51:N73" si="8">H51</f>
        <v>24.460959999999996</v>
      </c>
      <c r="O51" s="55">
        <f t="shared" ref="O51:O73" si="9">$V$49/(N51)^0.5</f>
        <v>5.0547916562793796E-2</v>
      </c>
      <c r="P51" s="76">
        <f t="shared" ref="P51:P73" si="10">$Z$68</f>
        <v>1.3</v>
      </c>
      <c r="Q51" s="73">
        <f t="shared" ref="Q51:Q73" si="11">N51*$V$2*$Z$68</f>
        <v>27.029360799999996</v>
      </c>
      <c r="U51" t="s">
        <v>173</v>
      </c>
      <c r="V51" s="110">
        <v>0.25</v>
      </c>
      <c r="W51" t="s">
        <v>87</v>
      </c>
    </row>
    <row r="52" spans="2:27" ht="18" x14ac:dyDescent="0.25">
      <c r="B52" s="68">
        <v>15</v>
      </c>
      <c r="C52" s="69">
        <f t="shared" ref="C52:C73" si="12">B52*0.3048</f>
        <v>4.5720000000000001</v>
      </c>
      <c r="D52" s="70">
        <v>0.56999999999999995</v>
      </c>
      <c r="E52" s="55">
        <v>0.85</v>
      </c>
      <c r="F52" s="71">
        <v>1.03</v>
      </c>
      <c r="G52" s="77">
        <f>HLOOKUP($G$4,$D$4:$F$27,3)</f>
        <v>0.85</v>
      </c>
      <c r="H52" s="70">
        <f>0.00256*G52*'ENV|In'!$M$73*'ENV|In'!$M$68*'ENV|In'!$M$66^2</f>
        <v>24.460959999999996</v>
      </c>
      <c r="K52" s="68">
        <f t="shared" si="6"/>
        <v>15</v>
      </c>
      <c r="L52" s="78">
        <f t="shared" si="7"/>
        <v>4.5720000000000001</v>
      </c>
      <c r="M52" s="79">
        <f t="shared" si="5"/>
        <v>0.85</v>
      </c>
      <c r="N52" s="79">
        <f t="shared" si="8"/>
        <v>24.460959999999996</v>
      </c>
      <c r="O52" s="55">
        <f t="shared" si="9"/>
        <v>5.0547916562793796E-2</v>
      </c>
      <c r="P52" s="79">
        <f t="shared" si="10"/>
        <v>1.3</v>
      </c>
      <c r="Q52" s="70">
        <f t="shared" si="11"/>
        <v>27.029360799999996</v>
      </c>
      <c r="U52" t="s">
        <v>259</v>
      </c>
      <c r="V52" s="12">
        <f>V51</f>
        <v>0.25</v>
      </c>
      <c r="W52" t="s">
        <v>204</v>
      </c>
    </row>
    <row r="53" spans="2:27" x14ac:dyDescent="0.25">
      <c r="B53" s="68">
        <v>20</v>
      </c>
      <c r="C53" s="69">
        <f t="shared" si="12"/>
        <v>6.0960000000000001</v>
      </c>
      <c r="D53" s="70">
        <v>0.62</v>
      </c>
      <c r="E53" s="55">
        <v>0.9</v>
      </c>
      <c r="F53" s="71">
        <v>1.08</v>
      </c>
      <c r="G53" s="77">
        <f>HLOOKUP($G$4,$D$4:$F$27,4)</f>
        <v>0.9</v>
      </c>
      <c r="H53" s="70">
        <f>0.00256*G53*'ENV|In'!$M$73*'ENV|In'!$M$68*'ENV|In'!$M$66^2</f>
        <v>25.899839999999998</v>
      </c>
      <c r="K53" s="68">
        <f t="shared" si="6"/>
        <v>20</v>
      </c>
      <c r="L53" s="78">
        <f t="shared" si="7"/>
        <v>6.0960000000000001</v>
      </c>
      <c r="M53" s="79">
        <f t="shared" si="5"/>
        <v>0.9</v>
      </c>
      <c r="N53" s="79">
        <f t="shared" si="8"/>
        <v>25.899839999999998</v>
      </c>
      <c r="O53" s="55">
        <f t="shared" si="9"/>
        <v>4.9123744977050771E-2</v>
      </c>
      <c r="P53" s="79">
        <f t="shared" si="10"/>
        <v>1.3</v>
      </c>
      <c r="Q53" s="70">
        <f t="shared" si="11"/>
        <v>28.619323199999997</v>
      </c>
      <c r="U53" t="s">
        <v>193</v>
      </c>
      <c r="V53" s="52">
        <f>V51/V49</f>
        <v>1</v>
      </c>
    </row>
    <row r="54" spans="2:27" x14ac:dyDescent="0.25">
      <c r="B54" s="68">
        <v>25</v>
      </c>
      <c r="C54" s="69">
        <f t="shared" si="12"/>
        <v>7.62</v>
      </c>
      <c r="D54" s="70">
        <v>0.66</v>
      </c>
      <c r="E54" s="55">
        <v>0.94</v>
      </c>
      <c r="F54" s="71">
        <v>1.1200000000000001</v>
      </c>
      <c r="G54" s="77">
        <f>HLOOKUP($G$4,$D$4:$F$27,5)</f>
        <v>0.94</v>
      </c>
      <c r="H54" s="70">
        <f>0.00256*G54*'ENV|In'!$M$73*'ENV|In'!$M$68*'ENV|In'!$M$66^2</f>
        <v>27.050943999999998</v>
      </c>
      <c r="K54" s="68">
        <f t="shared" si="6"/>
        <v>25</v>
      </c>
      <c r="L54" s="78">
        <f t="shared" si="7"/>
        <v>7.62</v>
      </c>
      <c r="M54" s="79">
        <f t="shared" si="5"/>
        <v>0.94</v>
      </c>
      <c r="N54" s="79">
        <f t="shared" si="8"/>
        <v>27.050943999999998</v>
      </c>
      <c r="O54" s="55">
        <f t="shared" si="9"/>
        <v>4.8067196853072355E-2</v>
      </c>
      <c r="P54" s="79">
        <f t="shared" si="10"/>
        <v>1.3</v>
      </c>
      <c r="Q54" s="70">
        <f t="shared" si="11"/>
        <v>29.891293119999997</v>
      </c>
      <c r="U54" t="s">
        <v>261</v>
      </c>
      <c r="V54" s="12">
        <f>V50/V49</f>
        <v>0</v>
      </c>
    </row>
    <row r="55" spans="2:27" x14ac:dyDescent="0.25">
      <c r="B55" s="68">
        <v>30</v>
      </c>
      <c r="C55" s="69">
        <f t="shared" si="12"/>
        <v>9.1440000000000001</v>
      </c>
      <c r="D55" s="70">
        <v>0.7</v>
      </c>
      <c r="E55" s="55">
        <v>0.98</v>
      </c>
      <c r="F55" s="71">
        <v>1.1599999999999999</v>
      </c>
      <c r="G55" s="77">
        <f>HLOOKUP($G$4,$D$4:$F$27,6)</f>
        <v>0.98</v>
      </c>
      <c r="H55" s="70">
        <f>0.00256*G55*'ENV|In'!$M$73*'ENV|In'!$M$68*'ENV|In'!$M$66^2</f>
        <v>28.202047999999998</v>
      </c>
      <c r="K55" s="68">
        <f t="shared" si="6"/>
        <v>30</v>
      </c>
      <c r="L55" s="78">
        <f t="shared" si="7"/>
        <v>9.1440000000000001</v>
      </c>
      <c r="M55" s="79">
        <f t="shared" si="5"/>
        <v>0.98</v>
      </c>
      <c r="N55" s="79">
        <f t="shared" si="8"/>
        <v>28.202047999999998</v>
      </c>
      <c r="O55" s="55">
        <f t="shared" si="9"/>
        <v>4.7076014176306864E-2</v>
      </c>
      <c r="P55" s="79">
        <f t="shared" si="10"/>
        <v>1.3</v>
      </c>
      <c r="Q55" s="70">
        <f t="shared" si="11"/>
        <v>31.16326304</v>
      </c>
    </row>
    <row r="56" spans="2:27" x14ac:dyDescent="0.25">
      <c r="B56" s="68">
        <v>40</v>
      </c>
      <c r="C56" s="69">
        <f t="shared" si="12"/>
        <v>12.192</v>
      </c>
      <c r="D56" s="70">
        <v>0.76</v>
      </c>
      <c r="E56" s="55">
        <v>1.04</v>
      </c>
      <c r="F56" s="71">
        <v>1.22</v>
      </c>
      <c r="G56" s="77">
        <f>HLOOKUP($G$4,$D$4:$F$27,7)</f>
        <v>1.04</v>
      </c>
      <c r="H56" s="70">
        <f>0.00256*G56*'ENV|In'!$M$73*'ENV|In'!$M$68*'ENV|In'!$M$66^2</f>
        <v>29.928704</v>
      </c>
      <c r="K56" s="68">
        <f t="shared" si="6"/>
        <v>40</v>
      </c>
      <c r="L56" s="78">
        <f t="shared" si="7"/>
        <v>12.192</v>
      </c>
      <c r="M56" s="79">
        <f t="shared" si="5"/>
        <v>1.04</v>
      </c>
      <c r="N56" s="79">
        <f t="shared" si="8"/>
        <v>29.928704</v>
      </c>
      <c r="O56" s="55">
        <f t="shared" si="9"/>
        <v>4.5697880026923404E-2</v>
      </c>
      <c r="P56" s="79">
        <f t="shared" si="10"/>
        <v>1.3</v>
      </c>
      <c r="Q56" s="70">
        <f t="shared" si="11"/>
        <v>33.071217920000002</v>
      </c>
      <c r="U56" s="111" t="s">
        <v>271</v>
      </c>
      <c r="V56" s="37"/>
      <c r="W56" s="112"/>
      <c r="X56" s="48" t="s">
        <v>272</v>
      </c>
      <c r="Y56" s="9"/>
      <c r="Z56" s="46" t="s">
        <v>193</v>
      </c>
      <c r="AA56" s="11"/>
    </row>
    <row r="57" spans="2:27" x14ac:dyDescent="0.25">
      <c r="B57" s="68">
        <v>50</v>
      </c>
      <c r="C57" s="69">
        <f t="shared" si="12"/>
        <v>15.24</v>
      </c>
      <c r="D57" s="70">
        <v>0.81</v>
      </c>
      <c r="E57" s="55">
        <v>1.0900000000000001</v>
      </c>
      <c r="F57" s="71">
        <v>1.27</v>
      </c>
      <c r="G57" s="77">
        <f>HLOOKUP($G$4,$D$4:$F$27,8)</f>
        <v>1.0900000000000001</v>
      </c>
      <c r="H57" s="70">
        <f>0.00256*G57*'ENV|In'!$M$73*'ENV|In'!$M$68*'ENV|In'!$M$66^2</f>
        <v>31.367584000000008</v>
      </c>
      <c r="K57" s="68">
        <f t="shared" si="6"/>
        <v>50</v>
      </c>
      <c r="L57" s="78">
        <f t="shared" si="7"/>
        <v>15.24</v>
      </c>
      <c r="M57" s="79">
        <f t="shared" si="5"/>
        <v>1.0900000000000001</v>
      </c>
      <c r="N57" s="79">
        <f t="shared" si="8"/>
        <v>31.367584000000008</v>
      </c>
      <c r="O57" s="55">
        <f t="shared" si="9"/>
        <v>4.4637459980362108E-2</v>
      </c>
      <c r="P57" s="79">
        <f t="shared" si="10"/>
        <v>1.3</v>
      </c>
      <c r="Q57" s="70">
        <f t="shared" si="11"/>
        <v>34.661180320000014</v>
      </c>
      <c r="U57" s="113"/>
      <c r="V57" s="41"/>
      <c r="W57" s="114"/>
      <c r="X57" s="49" t="s">
        <v>273</v>
      </c>
      <c r="Y57" s="25">
        <v>1</v>
      </c>
      <c r="Z57" s="25">
        <v>7</v>
      </c>
      <c r="AA57" s="25">
        <v>25</v>
      </c>
    </row>
    <row r="58" spans="2:27" x14ac:dyDescent="0.25">
      <c r="B58" s="68">
        <v>60</v>
      </c>
      <c r="C58" s="69">
        <f t="shared" si="12"/>
        <v>18.288</v>
      </c>
      <c r="D58" s="70">
        <v>0.85</v>
      </c>
      <c r="E58" s="55">
        <v>1.1299999999999999</v>
      </c>
      <c r="F58" s="71">
        <v>1.31</v>
      </c>
      <c r="G58" s="77">
        <f>HLOOKUP($G$4,$D$4:$F$27,9)</f>
        <v>1.1299999999999999</v>
      </c>
      <c r="H58" s="70">
        <f>0.00256*G58*'ENV|In'!$M$73*'ENV|In'!$M$68*'ENV|In'!$M$66^2</f>
        <v>32.518688000000004</v>
      </c>
      <c r="K58" s="68">
        <f t="shared" si="6"/>
        <v>60</v>
      </c>
      <c r="L58" s="78">
        <f t="shared" si="7"/>
        <v>18.288</v>
      </c>
      <c r="M58" s="79">
        <f t="shared" si="5"/>
        <v>1.1299999999999999</v>
      </c>
      <c r="N58" s="79">
        <f t="shared" si="8"/>
        <v>32.518688000000004</v>
      </c>
      <c r="O58" s="55">
        <f t="shared" si="9"/>
        <v>4.3840298353755219E-2</v>
      </c>
      <c r="P58" s="79">
        <f t="shared" si="10"/>
        <v>1.3</v>
      </c>
      <c r="Q58" s="70">
        <f t="shared" si="11"/>
        <v>35.933150240000003</v>
      </c>
      <c r="U58" s="81" t="s">
        <v>255</v>
      </c>
      <c r="V58" s="47"/>
      <c r="W58" s="83"/>
      <c r="X58" s="13" t="s">
        <v>263</v>
      </c>
      <c r="Y58" s="105">
        <v>1.3</v>
      </c>
      <c r="Z58" s="105">
        <v>1.4</v>
      </c>
      <c r="AA58" s="105">
        <v>2</v>
      </c>
    </row>
    <row r="59" spans="2:27" x14ac:dyDescent="0.25">
      <c r="B59" s="68">
        <v>70</v>
      </c>
      <c r="C59" s="69">
        <f t="shared" si="12"/>
        <v>21.336000000000002</v>
      </c>
      <c r="D59" s="70">
        <v>0.89</v>
      </c>
      <c r="E59" s="55">
        <v>1.17</v>
      </c>
      <c r="F59" s="71">
        <v>1.34</v>
      </c>
      <c r="G59" s="77">
        <f>HLOOKUP($G$4,$D$4:$F$27,10)</f>
        <v>1.17</v>
      </c>
      <c r="H59" s="70">
        <f>0.00256*G59*'ENV|In'!$M$73*'ENV|In'!$M$68*'ENV|In'!$M$66^2</f>
        <v>33.669791999999994</v>
      </c>
      <c r="K59" s="68">
        <f t="shared" si="6"/>
        <v>70</v>
      </c>
      <c r="L59" s="78">
        <f t="shared" si="7"/>
        <v>21.336000000000002</v>
      </c>
      <c r="M59" s="79">
        <f t="shared" si="5"/>
        <v>1.17</v>
      </c>
      <c r="N59" s="79">
        <f t="shared" si="8"/>
        <v>33.669791999999994</v>
      </c>
      <c r="O59" s="55">
        <f t="shared" si="9"/>
        <v>4.3084374470515774E-2</v>
      </c>
      <c r="P59" s="79">
        <f t="shared" si="10"/>
        <v>1.3</v>
      </c>
      <c r="Q59" s="70">
        <f t="shared" si="11"/>
        <v>37.205120159999993</v>
      </c>
      <c r="U59" s="29" t="s">
        <v>256</v>
      </c>
      <c r="V59" s="30"/>
      <c r="W59" s="31"/>
      <c r="X59" s="17" t="s">
        <v>263</v>
      </c>
      <c r="Y59" s="18">
        <v>1</v>
      </c>
      <c r="Z59" s="18">
        <v>1.1000000000000001</v>
      </c>
      <c r="AA59" s="18">
        <v>1.5</v>
      </c>
    </row>
    <row r="60" spans="2:27" x14ac:dyDescent="0.25">
      <c r="B60" s="68">
        <v>80</v>
      </c>
      <c r="C60" s="69">
        <f t="shared" si="12"/>
        <v>24.384</v>
      </c>
      <c r="D60" s="70">
        <v>0.93</v>
      </c>
      <c r="E60" s="55">
        <v>1.21</v>
      </c>
      <c r="F60" s="71">
        <v>1.38</v>
      </c>
      <c r="G60" s="77">
        <f>HLOOKUP($G$4,$D$4:$F$27,11)</f>
        <v>1.21</v>
      </c>
      <c r="H60" s="70">
        <f>0.00256*G60*'ENV|In'!$M$73*'ENV|In'!$M$68*'ENV|In'!$M$66^2</f>
        <v>34.820896000000005</v>
      </c>
      <c r="K60" s="68">
        <f t="shared" si="6"/>
        <v>80</v>
      </c>
      <c r="L60" s="78">
        <f t="shared" si="7"/>
        <v>24.384</v>
      </c>
      <c r="M60" s="79">
        <f t="shared" si="5"/>
        <v>1.21</v>
      </c>
      <c r="N60" s="79">
        <f t="shared" si="8"/>
        <v>34.820896000000005</v>
      </c>
      <c r="O60" s="55">
        <f t="shared" si="9"/>
        <v>4.2366251270382613E-2</v>
      </c>
      <c r="P60" s="79">
        <f t="shared" si="10"/>
        <v>1.3</v>
      </c>
      <c r="Q60" s="70">
        <f t="shared" si="11"/>
        <v>38.477090080000004</v>
      </c>
      <c r="U60" s="29" t="s">
        <v>257</v>
      </c>
      <c r="V60" s="30"/>
      <c r="W60" s="31"/>
      <c r="X60" s="17" t="s">
        <v>263</v>
      </c>
      <c r="Y60" s="18">
        <v>1</v>
      </c>
      <c r="Z60" s="18">
        <v>1.2</v>
      </c>
      <c r="AA60" s="18">
        <v>1.4</v>
      </c>
    </row>
    <row r="61" spans="2:27" x14ac:dyDescent="0.25">
      <c r="B61" s="68">
        <v>90</v>
      </c>
      <c r="C61" s="69">
        <f t="shared" si="12"/>
        <v>27.432000000000002</v>
      </c>
      <c r="D61" s="70">
        <v>0.96</v>
      </c>
      <c r="E61" s="55">
        <v>1.24</v>
      </c>
      <c r="F61" s="71">
        <v>1.4</v>
      </c>
      <c r="G61" s="77">
        <f>HLOOKUP($G$4,$D$4:$F$27,12)</f>
        <v>1.24</v>
      </c>
      <c r="H61" s="70">
        <f>0.00256*G61*'ENV|In'!$M$73*'ENV|In'!$M$68*'ENV|In'!$M$66^2</f>
        <v>35.684224</v>
      </c>
      <c r="K61" s="68">
        <f t="shared" si="6"/>
        <v>90</v>
      </c>
      <c r="L61" s="78">
        <f t="shared" si="7"/>
        <v>27.432000000000002</v>
      </c>
      <c r="M61" s="79">
        <f t="shared" si="5"/>
        <v>1.24</v>
      </c>
      <c r="N61" s="79">
        <f t="shared" si="8"/>
        <v>35.684224</v>
      </c>
      <c r="O61" s="55">
        <f t="shared" si="9"/>
        <v>4.1850618453376183E-2</v>
      </c>
      <c r="P61" s="79">
        <f t="shared" si="10"/>
        <v>1.3</v>
      </c>
      <c r="Q61" s="70">
        <f t="shared" si="11"/>
        <v>39.431067519999999</v>
      </c>
      <c r="U61" s="29" t="s">
        <v>264</v>
      </c>
      <c r="V61" s="30"/>
      <c r="W61" s="31"/>
      <c r="X61" s="18">
        <v>0</v>
      </c>
      <c r="Y61" s="18">
        <v>0.5</v>
      </c>
      <c r="Z61" s="18">
        <v>0.6</v>
      </c>
      <c r="AA61" s="18">
        <v>7</v>
      </c>
    </row>
    <row r="62" spans="2:27" ht="18" customHeight="1" x14ac:dyDescent="0.25">
      <c r="B62" s="68">
        <v>100</v>
      </c>
      <c r="C62" s="69">
        <f t="shared" si="12"/>
        <v>30.48</v>
      </c>
      <c r="D62" s="70">
        <v>0.99</v>
      </c>
      <c r="E62" s="55">
        <v>1.26</v>
      </c>
      <c r="F62" s="71">
        <v>1.43</v>
      </c>
      <c r="G62" s="77">
        <f>HLOOKUP($G$4,$D$4:$F$27,13)</f>
        <v>1.26</v>
      </c>
      <c r="H62" s="70">
        <f>0.00256*G62*'ENV|In'!$M$73*'ENV|In'!$M$68*'ENV|In'!$M$66^2</f>
        <v>36.259776000000002</v>
      </c>
      <c r="K62" s="68">
        <f t="shared" si="6"/>
        <v>100</v>
      </c>
      <c r="L62" s="78">
        <f t="shared" si="7"/>
        <v>30.48</v>
      </c>
      <c r="M62" s="79">
        <f t="shared" si="5"/>
        <v>1.26</v>
      </c>
      <c r="N62" s="79">
        <f t="shared" si="8"/>
        <v>36.259776000000002</v>
      </c>
      <c r="O62" s="55">
        <f t="shared" si="9"/>
        <v>4.151714207555305E-2</v>
      </c>
      <c r="P62" s="79">
        <f t="shared" si="10"/>
        <v>1.3</v>
      </c>
      <c r="Q62" s="70">
        <f t="shared" si="11"/>
        <v>40.067052480000001</v>
      </c>
      <c r="U62" s="29" t="s">
        <v>265</v>
      </c>
      <c r="V62" s="30"/>
      <c r="W62" s="31"/>
      <c r="X62" s="18">
        <v>0.2</v>
      </c>
      <c r="Y62" s="18">
        <v>0.7</v>
      </c>
      <c r="Z62" s="18">
        <v>0.8</v>
      </c>
      <c r="AA62" s="18">
        <v>0.9</v>
      </c>
    </row>
    <row r="63" spans="2:27" x14ac:dyDescent="0.25">
      <c r="B63" s="68">
        <v>120</v>
      </c>
      <c r="C63" s="69">
        <f t="shared" si="12"/>
        <v>36.576000000000001</v>
      </c>
      <c r="D63" s="70">
        <v>1.04</v>
      </c>
      <c r="E63" s="55">
        <v>1.31</v>
      </c>
      <c r="F63" s="71">
        <v>1.48</v>
      </c>
      <c r="G63" s="77">
        <f>HLOOKUP($G$4,$D$4:$F$27,14)</f>
        <v>1.31</v>
      </c>
      <c r="H63" s="70">
        <f>0.00256*G63*'ENV|In'!$M$73*'ENV|In'!$M$68*'ENV|In'!$M$66^2</f>
        <v>37.698656</v>
      </c>
      <c r="K63" s="68">
        <f t="shared" si="6"/>
        <v>120</v>
      </c>
      <c r="L63" s="78">
        <f t="shared" si="7"/>
        <v>36.576000000000001</v>
      </c>
      <c r="M63" s="79">
        <f t="shared" si="5"/>
        <v>1.31</v>
      </c>
      <c r="N63" s="79">
        <f t="shared" si="8"/>
        <v>37.698656</v>
      </c>
      <c r="O63" s="55">
        <f t="shared" si="9"/>
        <v>4.071712216049956E-2</v>
      </c>
      <c r="P63" s="79">
        <f t="shared" si="10"/>
        <v>1.3</v>
      </c>
      <c r="Q63" s="70">
        <f t="shared" si="11"/>
        <v>41.657014879999998</v>
      </c>
      <c r="U63" s="29" t="s">
        <v>266</v>
      </c>
      <c r="V63" s="30"/>
      <c r="W63" s="31"/>
      <c r="X63" s="18">
        <v>0.8</v>
      </c>
      <c r="Y63" s="18">
        <v>0.8</v>
      </c>
      <c r="Z63" s="18">
        <v>1</v>
      </c>
      <c r="AA63" s="18">
        <v>1.2</v>
      </c>
    </row>
    <row r="64" spans="2:27" x14ac:dyDescent="0.25">
      <c r="B64" s="68">
        <v>140</v>
      </c>
      <c r="C64" s="69">
        <f t="shared" si="12"/>
        <v>42.672000000000004</v>
      </c>
      <c r="D64" s="70">
        <v>1.0900000000000001</v>
      </c>
      <c r="E64" s="55">
        <v>1.36</v>
      </c>
      <c r="F64" s="71">
        <v>1.52</v>
      </c>
      <c r="G64" s="77">
        <f>HLOOKUP($G$4,$D$4:$F$27,15)</f>
        <v>1.36</v>
      </c>
      <c r="H64" s="70">
        <f>0.00256*G64*'ENV|In'!$M$73*'ENV|In'!$M$68*'ENV|In'!$M$66^2</f>
        <v>39.137536000000004</v>
      </c>
      <c r="K64" s="68">
        <f t="shared" si="6"/>
        <v>140</v>
      </c>
      <c r="L64" s="78">
        <f t="shared" si="7"/>
        <v>42.672000000000004</v>
      </c>
      <c r="M64" s="79">
        <f t="shared" si="5"/>
        <v>1.36</v>
      </c>
      <c r="N64" s="79">
        <f t="shared" si="8"/>
        <v>39.137536000000004</v>
      </c>
      <c r="O64" s="55">
        <f t="shared" si="9"/>
        <v>3.9961636828644502E-2</v>
      </c>
      <c r="P64" s="79">
        <f t="shared" si="10"/>
        <v>1.3</v>
      </c>
      <c r="Q64" s="70">
        <f t="shared" si="11"/>
        <v>43.246977280000003</v>
      </c>
      <c r="U64" s="33" t="s">
        <v>262</v>
      </c>
      <c r="V64" s="34"/>
      <c r="W64" s="35"/>
      <c r="X64" s="14" t="s">
        <v>263</v>
      </c>
      <c r="Y64" s="20">
        <v>0.7</v>
      </c>
      <c r="Z64" s="20">
        <v>0.8</v>
      </c>
      <c r="AA64" s="20">
        <v>1.2</v>
      </c>
    </row>
    <row r="65" spans="2:27" x14ac:dyDescent="0.25">
      <c r="B65" s="68">
        <v>160</v>
      </c>
      <c r="C65" s="69">
        <f t="shared" si="12"/>
        <v>48.768000000000001</v>
      </c>
      <c r="D65" s="70">
        <v>1.1299999999999999</v>
      </c>
      <c r="E65" s="55">
        <v>1.39</v>
      </c>
      <c r="F65" s="71">
        <v>1.55</v>
      </c>
      <c r="G65" s="77">
        <f>HLOOKUP($G$4,$D$4:$F$27,16)</f>
        <v>1.39</v>
      </c>
      <c r="H65" s="70">
        <f>0.00256*G65*'ENV|In'!$M$73*'ENV|In'!$M$68*'ENV|In'!$M$66^2</f>
        <v>40.000864</v>
      </c>
      <c r="K65" s="68">
        <f t="shared" si="6"/>
        <v>160</v>
      </c>
      <c r="L65" s="78">
        <f t="shared" si="7"/>
        <v>48.768000000000001</v>
      </c>
      <c r="M65" s="79">
        <f t="shared" si="5"/>
        <v>1.39</v>
      </c>
      <c r="N65" s="79">
        <f t="shared" si="8"/>
        <v>40.000864</v>
      </c>
      <c r="O65" s="55">
        <f t="shared" si="9"/>
        <v>3.9528043851536396E-2</v>
      </c>
      <c r="P65" s="79">
        <f t="shared" si="10"/>
        <v>1.3</v>
      </c>
      <c r="Q65" s="70">
        <f t="shared" si="11"/>
        <v>44.200954719999999</v>
      </c>
      <c r="U65" s="38" t="str">
        <f>U48</f>
        <v>Square (wind normal to face)</v>
      </c>
      <c r="V65" s="38"/>
      <c r="W65" s="38"/>
      <c r="X65" s="38"/>
      <c r="Y65" s="22">
        <f>VLOOKUP($U$65,$U$58:$AA$64,5,FALSE)</f>
        <v>1.3</v>
      </c>
      <c r="Z65" s="22">
        <f>VLOOKUP($U$65,$U$58:$AA$64,6,FALSE)</f>
        <v>1.4</v>
      </c>
      <c r="AA65" s="22">
        <f>VLOOKUP($U$65,$U$58:$AA$64,7,FALSE)</f>
        <v>2</v>
      </c>
    </row>
    <row r="66" spans="2:27" x14ac:dyDescent="0.25">
      <c r="B66" s="68">
        <v>180</v>
      </c>
      <c r="C66" s="69">
        <f t="shared" si="12"/>
        <v>54.864000000000004</v>
      </c>
      <c r="D66" s="70">
        <v>1.17</v>
      </c>
      <c r="E66" s="55">
        <v>1.43</v>
      </c>
      <c r="F66" s="71">
        <v>1.58</v>
      </c>
      <c r="G66" s="77">
        <f>HLOOKUP($G$4,$D$4:$F$27,17)</f>
        <v>1.43</v>
      </c>
      <c r="H66" s="70">
        <f>0.00256*G66*'ENV|In'!$M$73*'ENV|In'!$M$68*'ENV|In'!$M$66^2</f>
        <v>41.151967999999997</v>
      </c>
      <c r="K66" s="68">
        <f t="shared" si="6"/>
        <v>180</v>
      </c>
      <c r="L66" s="78">
        <f t="shared" si="7"/>
        <v>54.864000000000004</v>
      </c>
      <c r="M66" s="79">
        <f t="shared" si="5"/>
        <v>1.43</v>
      </c>
      <c r="N66" s="79">
        <f t="shared" si="8"/>
        <v>41.151967999999997</v>
      </c>
      <c r="O66" s="55">
        <f t="shared" si="9"/>
        <v>3.8971283030691244E-2</v>
      </c>
      <c r="P66" s="79">
        <f t="shared" si="10"/>
        <v>1.3</v>
      </c>
      <c r="Q66" s="70">
        <f t="shared" si="11"/>
        <v>45.472924639999995</v>
      </c>
      <c r="Y66" s="106">
        <f>IF(V53&lt;1,Y65,IF(AND(V53&gt;=1,V53&lt;=7),((Z65-Y65)/(Z57-Y57))*V53+(Y65-((Z65-Y65)/(Z57-Y57))*Y57),0))</f>
        <v>1.3</v>
      </c>
      <c r="Z66" s="106">
        <f>IF(AND(V53&gt;7,V53&lt;=25),((AA65-Z65)/(AA57-Z57))*V53+(Z65-((AA65-Z65)/(AA57-Z57))*Z57),0)</f>
        <v>0</v>
      </c>
    </row>
    <row r="67" spans="2:27" x14ac:dyDescent="0.25">
      <c r="B67" s="68">
        <v>200</v>
      </c>
      <c r="C67" s="69">
        <f t="shared" si="12"/>
        <v>60.96</v>
      </c>
      <c r="D67" s="70">
        <v>1.2</v>
      </c>
      <c r="E67" s="55">
        <v>1.46</v>
      </c>
      <c r="F67" s="71">
        <v>1.61</v>
      </c>
      <c r="G67" s="77">
        <f>HLOOKUP($G$4,$D$4:$F$27,18)</f>
        <v>1.46</v>
      </c>
      <c r="H67" s="70">
        <f>0.00256*G67*'ENV|In'!$M$73*'ENV|In'!$M$68*'ENV|In'!$M$66^2</f>
        <v>42.015295999999999</v>
      </c>
      <c r="K67" s="68">
        <f t="shared" si="6"/>
        <v>200</v>
      </c>
      <c r="L67" s="78">
        <f t="shared" si="7"/>
        <v>60.96</v>
      </c>
      <c r="M67" s="79">
        <f t="shared" si="5"/>
        <v>1.46</v>
      </c>
      <c r="N67" s="79">
        <f t="shared" si="8"/>
        <v>42.015295999999999</v>
      </c>
      <c r="O67" s="55">
        <f t="shared" si="9"/>
        <v>3.8568814932313823E-2</v>
      </c>
      <c r="P67" s="79">
        <f t="shared" si="10"/>
        <v>1.3</v>
      </c>
      <c r="Q67" s="70">
        <f t="shared" si="11"/>
        <v>46.426902079999998</v>
      </c>
    </row>
    <row r="68" spans="2:27" ht="18" x14ac:dyDescent="0.25">
      <c r="B68" s="68">
        <v>250</v>
      </c>
      <c r="C68" s="69">
        <f t="shared" si="12"/>
        <v>76.2</v>
      </c>
      <c r="D68" s="70">
        <v>1.28</v>
      </c>
      <c r="E68" s="55">
        <v>1.53</v>
      </c>
      <c r="F68" s="71">
        <v>1.68</v>
      </c>
      <c r="G68" s="77">
        <f>HLOOKUP($G$4,$D$4:$F$27,19)</f>
        <v>1.53</v>
      </c>
      <c r="H68" s="70">
        <f>0.00256*G68*'ENV|In'!$M$73*'ENV|In'!$M$68*'ENV|In'!$M$66^2</f>
        <v>44.029728000000006</v>
      </c>
      <c r="K68" s="68">
        <f t="shared" si="6"/>
        <v>250</v>
      </c>
      <c r="L68" s="78">
        <f t="shared" si="7"/>
        <v>76.2</v>
      </c>
      <c r="M68" s="79">
        <f t="shared" si="5"/>
        <v>1.53</v>
      </c>
      <c r="N68" s="79">
        <f t="shared" si="8"/>
        <v>44.029728000000006</v>
      </c>
      <c r="O68" s="55">
        <f t="shared" si="9"/>
        <v>3.7676192518464803E-2</v>
      </c>
      <c r="P68" s="79">
        <f t="shared" si="10"/>
        <v>1.3</v>
      </c>
      <c r="Q68" s="70">
        <f t="shared" si="11"/>
        <v>48.652849440000011</v>
      </c>
      <c r="Y68" s="21" t="s">
        <v>267</v>
      </c>
      <c r="Z68" s="107">
        <f>SUM(Y66:Z66)</f>
        <v>1.3</v>
      </c>
    </row>
    <row r="69" spans="2:27" x14ac:dyDescent="0.25">
      <c r="B69" s="68">
        <v>300</v>
      </c>
      <c r="C69" s="69">
        <f t="shared" si="12"/>
        <v>91.44</v>
      </c>
      <c r="D69" s="70">
        <v>1.35</v>
      </c>
      <c r="E69" s="55">
        <v>1.59</v>
      </c>
      <c r="F69" s="71">
        <v>1.73</v>
      </c>
      <c r="G69" s="77">
        <f>HLOOKUP($G$4,$D$4:$F$27,20)</f>
        <v>1.59</v>
      </c>
      <c r="H69" s="70">
        <f>0.00256*G69*'ENV|In'!$M$73*'ENV|In'!$M$68*'ENV|In'!$M$66^2</f>
        <v>45.756384000000004</v>
      </c>
      <c r="K69" s="68">
        <f t="shared" si="6"/>
        <v>300</v>
      </c>
      <c r="L69" s="78">
        <f t="shared" si="7"/>
        <v>91.44</v>
      </c>
      <c r="M69" s="79">
        <f t="shared" si="5"/>
        <v>1.59</v>
      </c>
      <c r="N69" s="79">
        <f t="shared" si="8"/>
        <v>45.756384000000004</v>
      </c>
      <c r="O69" s="55">
        <f t="shared" si="9"/>
        <v>3.6958485026001298E-2</v>
      </c>
      <c r="P69" s="79">
        <f t="shared" si="10"/>
        <v>1.3</v>
      </c>
      <c r="Q69" s="70">
        <f t="shared" si="11"/>
        <v>50.560804320000003</v>
      </c>
    </row>
    <row r="70" spans="2:27" x14ac:dyDescent="0.25">
      <c r="B70" s="68">
        <v>350</v>
      </c>
      <c r="C70" s="69">
        <f t="shared" si="12"/>
        <v>106.68</v>
      </c>
      <c r="D70" s="70">
        <v>1.41</v>
      </c>
      <c r="E70" s="55">
        <v>1.64</v>
      </c>
      <c r="F70" s="71">
        <v>1.78</v>
      </c>
      <c r="G70" s="77">
        <f>HLOOKUP($G$4,$D$4:$F$27,21)</f>
        <v>1.64</v>
      </c>
      <c r="H70" s="70">
        <f>0.00256*G70*'ENV|In'!$M$73*'ENV|In'!$M$68*'ENV|In'!$M$66^2</f>
        <v>47.195263999999995</v>
      </c>
      <c r="K70" s="68">
        <f t="shared" si="6"/>
        <v>350</v>
      </c>
      <c r="L70" s="78">
        <f t="shared" si="7"/>
        <v>106.68</v>
      </c>
      <c r="M70" s="79">
        <f t="shared" si="5"/>
        <v>1.64</v>
      </c>
      <c r="N70" s="79">
        <f t="shared" si="8"/>
        <v>47.195263999999995</v>
      </c>
      <c r="O70" s="55">
        <f t="shared" si="9"/>
        <v>3.6390732609074744E-2</v>
      </c>
      <c r="P70" s="79">
        <f t="shared" si="10"/>
        <v>1.3</v>
      </c>
      <c r="Q70" s="70">
        <f t="shared" si="11"/>
        <v>52.150766719999993</v>
      </c>
    </row>
    <row r="71" spans="2:27" x14ac:dyDescent="0.25">
      <c r="B71" s="68">
        <v>400</v>
      </c>
      <c r="C71" s="69">
        <f t="shared" si="12"/>
        <v>121.92</v>
      </c>
      <c r="D71" s="70">
        <v>1.47</v>
      </c>
      <c r="E71" s="55">
        <v>1.69</v>
      </c>
      <c r="F71" s="71">
        <v>1.82</v>
      </c>
      <c r="G71" s="77">
        <f>HLOOKUP($G$4,$D$4:$F$27,22)</f>
        <v>1.69</v>
      </c>
      <c r="H71" s="70">
        <f>0.00256*G71*'ENV|In'!$M$73*'ENV|In'!$M$68*'ENV|In'!$M$66^2</f>
        <v>48.634143999999999</v>
      </c>
      <c r="K71" s="68">
        <f t="shared" si="6"/>
        <v>400</v>
      </c>
      <c r="L71" s="78">
        <f t="shared" si="7"/>
        <v>121.92</v>
      </c>
      <c r="M71" s="79">
        <f t="shared" si="5"/>
        <v>1.69</v>
      </c>
      <c r="N71" s="79">
        <f t="shared" si="8"/>
        <v>48.634143999999999</v>
      </c>
      <c r="O71" s="55">
        <f t="shared" si="9"/>
        <v>3.5848366459554526E-2</v>
      </c>
      <c r="P71" s="79">
        <f t="shared" si="10"/>
        <v>1.3</v>
      </c>
      <c r="Q71" s="70">
        <f t="shared" si="11"/>
        <v>53.740729119999997</v>
      </c>
    </row>
    <row r="72" spans="2:27" x14ac:dyDescent="0.25">
      <c r="B72" s="68">
        <v>450</v>
      </c>
      <c r="C72" s="69">
        <f t="shared" si="12"/>
        <v>137.16</v>
      </c>
      <c r="D72" s="70">
        <v>1.52</v>
      </c>
      <c r="E72" s="55">
        <v>1.73</v>
      </c>
      <c r="F72" s="71">
        <v>1.86</v>
      </c>
      <c r="G72" s="77">
        <f>HLOOKUP($G$4,$D$4:$F$27,23)</f>
        <v>1.73</v>
      </c>
      <c r="H72" s="70">
        <f>0.00256*G72*'ENV|In'!$M$73*'ENV|In'!$M$68*'ENV|In'!$M$66^2</f>
        <v>49.785248000000003</v>
      </c>
      <c r="K72" s="68">
        <f t="shared" si="6"/>
        <v>450</v>
      </c>
      <c r="L72" s="78">
        <f t="shared" si="7"/>
        <v>137.16</v>
      </c>
      <c r="M72" s="79">
        <f t="shared" si="5"/>
        <v>1.73</v>
      </c>
      <c r="N72" s="79">
        <f t="shared" si="8"/>
        <v>49.785248000000003</v>
      </c>
      <c r="O72" s="55">
        <f t="shared" si="9"/>
        <v>3.5431510815631347E-2</v>
      </c>
      <c r="P72" s="79">
        <f t="shared" si="10"/>
        <v>1.3</v>
      </c>
      <c r="Q72" s="70">
        <f t="shared" si="11"/>
        <v>55.012699040000001</v>
      </c>
    </row>
    <row r="73" spans="2:27" x14ac:dyDescent="0.25">
      <c r="B73" s="94">
        <v>500</v>
      </c>
      <c r="C73" s="95">
        <f t="shared" si="12"/>
        <v>152.4</v>
      </c>
      <c r="D73" s="96">
        <v>1.56</v>
      </c>
      <c r="E73" s="97">
        <v>1.77</v>
      </c>
      <c r="F73" s="98">
        <v>1.89</v>
      </c>
      <c r="G73" s="99">
        <f>HLOOKUP($G$4,$D$4:$F$27,24)</f>
        <v>1.77</v>
      </c>
      <c r="H73" s="96">
        <f>0.00256*G73*'ENV|In'!$M$73*'ENV|In'!$M$68*'ENV|In'!$M$66^2</f>
        <v>50.936351999999999</v>
      </c>
      <c r="K73" s="94">
        <f t="shared" si="6"/>
        <v>500</v>
      </c>
      <c r="L73" s="100">
        <f t="shared" si="7"/>
        <v>152.4</v>
      </c>
      <c r="M73" s="101">
        <f t="shared" si="5"/>
        <v>1.77</v>
      </c>
      <c r="N73" s="101">
        <f t="shared" si="8"/>
        <v>50.936351999999999</v>
      </c>
      <c r="O73" s="108">
        <f t="shared" si="9"/>
        <v>3.5028866937628189E-2</v>
      </c>
      <c r="P73" s="101">
        <f t="shared" si="10"/>
        <v>1.3</v>
      </c>
      <c r="Q73" s="96">
        <f t="shared" si="11"/>
        <v>56.284668960000005</v>
      </c>
    </row>
    <row r="74" spans="2:27" x14ac:dyDescent="0.25">
      <c r="B74" s="102" t="s">
        <v>252</v>
      </c>
      <c r="C74" s="69"/>
      <c r="D74" s="55"/>
      <c r="E74" s="55"/>
      <c r="F74" s="55"/>
      <c r="G74" s="103"/>
      <c r="H74" s="55"/>
      <c r="K74" s="102" t="s">
        <v>252</v>
      </c>
    </row>
    <row r="75" spans="2:27" x14ac:dyDescent="0.25">
      <c r="B75" s="104" t="s">
        <v>179</v>
      </c>
      <c r="K75" s="104" t="s">
        <v>179</v>
      </c>
    </row>
    <row r="76" spans="2:27" x14ac:dyDescent="0.25">
      <c r="B76" s="104" t="s">
        <v>178</v>
      </c>
      <c r="K76" s="104" t="s">
        <v>178</v>
      </c>
    </row>
    <row r="77" spans="2:27" x14ac:dyDescent="0.25">
      <c r="K77" s="104" t="s">
        <v>268</v>
      </c>
    </row>
    <row r="78" spans="2:27" x14ac:dyDescent="0.25">
      <c r="K78" s="104" t="s">
        <v>269</v>
      </c>
    </row>
    <row r="79" spans="2:27" x14ac:dyDescent="0.25">
      <c r="K79" s="104" t="s">
        <v>270</v>
      </c>
    </row>
    <row r="93" spans="2:7" x14ac:dyDescent="0.25">
      <c r="B93" t="s">
        <v>344</v>
      </c>
    </row>
    <row r="94" spans="2:7" x14ac:dyDescent="0.25">
      <c r="B94" s="327" t="s">
        <v>345</v>
      </c>
      <c r="C94" s="326" t="s">
        <v>314</v>
      </c>
      <c r="D94" s="326"/>
      <c r="E94" s="326" t="s">
        <v>315</v>
      </c>
      <c r="F94" s="326"/>
    </row>
    <row r="95" spans="2:7" x14ac:dyDescent="0.25">
      <c r="B95" s="328"/>
      <c r="C95" s="144" t="s">
        <v>346</v>
      </c>
      <c r="D95" s="121" t="s">
        <v>347</v>
      </c>
      <c r="E95" s="144" t="s">
        <v>346</v>
      </c>
      <c r="F95" s="121" t="s">
        <v>347</v>
      </c>
    </row>
    <row r="96" spans="2:7" x14ac:dyDescent="0.25">
      <c r="B96" s="145" t="s">
        <v>363</v>
      </c>
      <c r="C96" s="146">
        <f>'ENV|In'!M9</f>
        <v>16</v>
      </c>
      <c r="D96" s="47" t="s">
        <v>87</v>
      </c>
      <c r="E96" s="146">
        <f>'ENV|In'!M10</f>
        <v>3</v>
      </c>
      <c r="F96" s="47" t="s">
        <v>87</v>
      </c>
      <c r="G96" t="s">
        <v>366</v>
      </c>
    </row>
    <row r="97" spans="2:8" x14ac:dyDescent="0.25">
      <c r="B97" s="147" t="s">
        <v>348</v>
      </c>
      <c r="C97" s="148">
        <f>C96*0.1</f>
        <v>1.6</v>
      </c>
      <c r="D97" s="30" t="s">
        <v>87</v>
      </c>
      <c r="E97" s="148">
        <f>E96*0.1</f>
        <v>0.30000000000000004</v>
      </c>
      <c r="F97" s="30" t="s">
        <v>87</v>
      </c>
    </row>
    <row r="98" spans="2:8" ht="18" x14ac:dyDescent="0.35">
      <c r="B98" s="147" t="s">
        <v>70</v>
      </c>
      <c r="C98" s="149">
        <f>'ENV|In'!M37</f>
        <v>10</v>
      </c>
      <c r="D98" s="30" t="s">
        <v>87</v>
      </c>
      <c r="E98" s="149">
        <f>C98</f>
        <v>10</v>
      </c>
      <c r="F98" s="30" t="s">
        <v>87</v>
      </c>
      <c r="G98" t="s">
        <v>358</v>
      </c>
    </row>
    <row r="99" spans="2:8" ht="18" x14ac:dyDescent="0.35">
      <c r="B99" s="147" t="s">
        <v>369</v>
      </c>
      <c r="C99" s="148">
        <f>0.4*C98</f>
        <v>4</v>
      </c>
      <c r="D99" s="30" t="s">
        <v>87</v>
      </c>
      <c r="E99" s="148">
        <f>0.4*E98</f>
        <v>4</v>
      </c>
      <c r="F99" s="30" t="s">
        <v>87</v>
      </c>
    </row>
    <row r="100" spans="2:8" x14ac:dyDescent="0.25">
      <c r="B100" s="147" t="s">
        <v>349</v>
      </c>
      <c r="C100" s="148">
        <f>C96*0.04</f>
        <v>0.64</v>
      </c>
      <c r="D100" s="30" t="s">
        <v>87</v>
      </c>
      <c r="E100" s="148">
        <f>E96*0.04</f>
        <v>0.12</v>
      </c>
      <c r="F100" s="30" t="s">
        <v>87</v>
      </c>
    </row>
    <row r="101" spans="2:8" x14ac:dyDescent="0.25">
      <c r="B101" s="150" t="s">
        <v>350</v>
      </c>
      <c r="C101" s="151">
        <v>3</v>
      </c>
      <c r="D101" s="34" t="s">
        <v>87</v>
      </c>
      <c r="E101" s="151">
        <v>3</v>
      </c>
      <c r="F101" s="34" t="s">
        <v>87</v>
      </c>
    </row>
    <row r="102" spans="2:8" x14ac:dyDescent="0.25">
      <c r="B102" s="152"/>
      <c r="C102" s="12"/>
      <c r="F102" s="152"/>
      <c r="G102" s="12"/>
    </row>
    <row r="103" spans="2:8" x14ac:dyDescent="0.25">
      <c r="B103" s="327" t="s">
        <v>351</v>
      </c>
      <c r="C103" s="327"/>
      <c r="D103" s="326" t="s">
        <v>314</v>
      </c>
      <c r="E103" s="326"/>
      <c r="F103" s="326" t="s">
        <v>315</v>
      </c>
      <c r="G103" s="326"/>
    </row>
    <row r="104" spans="2:8" x14ac:dyDescent="0.25">
      <c r="B104" s="328"/>
      <c r="C104" s="328"/>
      <c r="D104" s="144" t="s">
        <v>352</v>
      </c>
      <c r="E104" s="10"/>
      <c r="F104" s="144" t="s">
        <v>352</v>
      </c>
      <c r="G104" s="10"/>
    </row>
    <row r="105" spans="2:8" x14ac:dyDescent="0.25">
      <c r="B105" s="153" t="s">
        <v>353</v>
      </c>
      <c r="C105" s="27"/>
      <c r="D105" s="154">
        <f>MIN(C97,C99)</f>
        <v>1.6</v>
      </c>
      <c r="E105" s="27" t="s">
        <v>87</v>
      </c>
      <c r="F105" s="154">
        <f>MIN(E97,E99)</f>
        <v>0.30000000000000004</v>
      </c>
      <c r="G105" s="27" t="s">
        <v>87</v>
      </c>
    </row>
    <row r="106" spans="2:8" x14ac:dyDescent="0.25">
      <c r="B106" s="155" t="s">
        <v>354</v>
      </c>
      <c r="C106" s="30"/>
      <c r="D106" s="148">
        <f>IF(D105&lt;C100,C100,D105)</f>
        <v>1.6</v>
      </c>
      <c r="E106" s="30" t="s">
        <v>87</v>
      </c>
      <c r="F106" s="148">
        <f>IF(F105&lt;E100,E100,F105)</f>
        <v>0.30000000000000004</v>
      </c>
      <c r="G106" s="30" t="s">
        <v>87</v>
      </c>
    </row>
    <row r="107" spans="2:8" x14ac:dyDescent="0.25">
      <c r="B107" s="156" t="s">
        <v>355</v>
      </c>
      <c r="C107" s="34"/>
      <c r="D107" s="151">
        <f>IF(D105&lt;3,3,D105)</f>
        <v>3</v>
      </c>
      <c r="E107" s="34" t="s">
        <v>87</v>
      </c>
      <c r="F107" s="151">
        <f>IF(F105&lt;3,3,F105)</f>
        <v>3</v>
      </c>
      <c r="G107" s="34" t="s">
        <v>87</v>
      </c>
    </row>
    <row r="108" spans="2:8" x14ac:dyDescent="0.25">
      <c r="B108" s="157" t="s">
        <v>316</v>
      </c>
      <c r="D108" s="158">
        <f>MIN(D106,D107)</f>
        <v>1.6</v>
      </c>
      <c r="E108" s="45" t="s">
        <v>87</v>
      </c>
      <c r="F108" s="158">
        <f>MIN(F106,F107)</f>
        <v>0.30000000000000004</v>
      </c>
      <c r="G108" s="45" t="s">
        <v>87</v>
      </c>
    </row>
    <row r="109" spans="2:8" x14ac:dyDescent="0.25">
      <c r="B109" s="157"/>
      <c r="D109" s="158"/>
      <c r="E109" s="160">
        <f>MIN(D108,F108)</f>
        <v>0.30000000000000004</v>
      </c>
      <c r="F109" s="11" t="s">
        <v>87</v>
      </c>
      <c r="G109" t="s">
        <v>365</v>
      </c>
      <c r="H109" s="12"/>
    </row>
    <row r="110" spans="2:8" x14ac:dyDescent="0.25">
      <c r="B110" s="157"/>
      <c r="D110" s="158"/>
      <c r="E110" s="45"/>
      <c r="F110" s="158"/>
      <c r="G110" s="45"/>
      <c r="H110" s="12"/>
    </row>
    <row r="112" spans="2:8" x14ac:dyDescent="0.25">
      <c r="B112" s="8" t="s">
        <v>339</v>
      </c>
    </row>
    <row r="113" spans="2:6" x14ac:dyDescent="0.25">
      <c r="B113" s="159" t="s">
        <v>345</v>
      </c>
      <c r="C113" s="10"/>
      <c r="D113" s="144" t="s">
        <v>346</v>
      </c>
      <c r="E113" s="121" t="s">
        <v>347</v>
      </c>
    </row>
    <row r="114" spans="2:6" x14ac:dyDescent="0.25">
      <c r="B114" s="145" t="s">
        <v>356</v>
      </c>
      <c r="C114" s="47"/>
      <c r="D114" s="12">
        <f>'ENV|In'!M18</f>
        <v>4.7636416907261774</v>
      </c>
      <c r="E114" s="47" t="s">
        <v>357</v>
      </c>
    </row>
    <row r="115" spans="2:6" x14ac:dyDescent="0.25">
      <c r="B115" s="147" t="s">
        <v>216</v>
      </c>
      <c r="C115" s="30"/>
      <c r="D115" s="149">
        <f>'ENV|In'!M14</f>
        <v>1</v>
      </c>
      <c r="E115" s="30"/>
    </row>
    <row r="116" spans="2:6" x14ac:dyDescent="0.25">
      <c r="B116" s="147" t="s">
        <v>217</v>
      </c>
      <c r="C116" s="30"/>
      <c r="D116" s="149">
        <f>'ENV|In'!M15</f>
        <v>12</v>
      </c>
      <c r="E116" s="30"/>
    </row>
    <row r="117" spans="2:6" ht="18" x14ac:dyDescent="0.35">
      <c r="B117" s="147" t="s">
        <v>599</v>
      </c>
      <c r="C117" s="30"/>
      <c r="D117" s="149">
        <f>'ENV|In'!M11</f>
        <v>0</v>
      </c>
      <c r="E117" s="30" t="s">
        <v>87</v>
      </c>
    </row>
    <row r="118" spans="2:6" ht="18" x14ac:dyDescent="0.35">
      <c r="B118" s="147" t="s">
        <v>368</v>
      </c>
      <c r="C118" s="30"/>
      <c r="D118" s="148">
        <f>MAX('ENV|In'!M9:M10)</f>
        <v>16</v>
      </c>
      <c r="E118" s="30" t="s">
        <v>87</v>
      </c>
      <c r="F118" t="s">
        <v>367</v>
      </c>
    </row>
    <row r="119" spans="2:6" ht="18" x14ac:dyDescent="0.35">
      <c r="B119" s="147" t="s">
        <v>361</v>
      </c>
      <c r="C119" s="30"/>
      <c r="D119" s="148">
        <f>(D118/2)*(D115/D116)</f>
        <v>0.66666666666666663</v>
      </c>
      <c r="E119" s="30" t="s">
        <v>87</v>
      </c>
      <c r="F119" t="s">
        <v>362</v>
      </c>
    </row>
    <row r="120" spans="2:6" ht="18" x14ac:dyDescent="0.35">
      <c r="B120" s="162" t="s">
        <v>70</v>
      </c>
      <c r="C120" s="161"/>
      <c r="D120" s="163">
        <f>C98</f>
        <v>10</v>
      </c>
      <c r="E120" s="161" t="s">
        <v>87</v>
      </c>
      <c r="F120" t="s">
        <v>358</v>
      </c>
    </row>
    <row r="121" spans="2:6" ht="18" x14ac:dyDescent="0.35">
      <c r="B121" s="150" t="s">
        <v>359</v>
      </c>
      <c r="C121" s="34"/>
      <c r="D121" s="151">
        <f>D120+D119</f>
        <v>10.666666666666666</v>
      </c>
      <c r="E121" s="34" t="s">
        <v>87</v>
      </c>
      <c r="F121" t="s">
        <v>360</v>
      </c>
    </row>
    <row r="123" spans="2:6" ht="18" x14ac:dyDescent="0.35">
      <c r="B123" s="152" t="s">
        <v>220</v>
      </c>
      <c r="C123" s="1" t="s">
        <v>315</v>
      </c>
      <c r="D123" s="152" t="s">
        <v>364</v>
      </c>
    </row>
    <row r="124" spans="2:6" x14ac:dyDescent="0.25">
      <c r="B124" s="145" t="s">
        <v>279</v>
      </c>
      <c r="C124" s="169" t="s">
        <v>594</v>
      </c>
      <c r="D124" s="165">
        <f>D120</f>
        <v>10</v>
      </c>
    </row>
    <row r="125" spans="2:6" x14ac:dyDescent="0.25">
      <c r="B125" s="147" t="s">
        <v>370</v>
      </c>
      <c r="C125" s="170" t="s">
        <v>594</v>
      </c>
      <c r="D125" s="166">
        <f>D120+D115/2</f>
        <v>10.5</v>
      </c>
    </row>
    <row r="126" spans="2:6" x14ac:dyDescent="0.25">
      <c r="B126" s="150" t="s">
        <v>371</v>
      </c>
      <c r="C126" s="171">
        <f>E96/2</f>
        <v>1.5</v>
      </c>
      <c r="D126" s="167">
        <f>D120+(D115/D116)*(D117+C126)</f>
        <v>10.125</v>
      </c>
    </row>
    <row r="127" spans="2:6" x14ac:dyDescent="0.25">
      <c r="B127" s="21" t="str">
        <f>'ENV|In'!M12</f>
        <v>Flat</v>
      </c>
      <c r="C127" s="1"/>
      <c r="D127" s="168">
        <f>VLOOKUP(B127,B124:D126,3,FALSE)</f>
        <v>10</v>
      </c>
    </row>
    <row r="129" spans="2:4" x14ac:dyDescent="0.25">
      <c r="B129" s="164" t="s">
        <v>373</v>
      </c>
    </row>
    <row r="130" spans="2:4" x14ac:dyDescent="0.25">
      <c r="B130" s="152" t="s">
        <v>375</v>
      </c>
      <c r="C130" s="246">
        <f>'ENV|In'!M16</f>
        <v>0</v>
      </c>
      <c r="D130" t="s">
        <v>87</v>
      </c>
    </row>
    <row r="131" spans="2:4" x14ac:dyDescent="0.25">
      <c r="B131" s="152" t="s">
        <v>374</v>
      </c>
      <c r="C131" s="246">
        <f>'ENV|In'!M17</f>
        <v>10</v>
      </c>
      <c r="D131" t="s">
        <v>87</v>
      </c>
    </row>
  </sheetData>
  <sheetProtection selectLockedCells="1"/>
  <mergeCells count="12">
    <mergeCell ref="C94:D94"/>
    <mergeCell ref="E94:F94"/>
    <mergeCell ref="B94:B95"/>
    <mergeCell ref="B103:C104"/>
    <mergeCell ref="D103:E103"/>
    <mergeCell ref="F103:G103"/>
    <mergeCell ref="B48:C49"/>
    <mergeCell ref="D48:F49"/>
    <mergeCell ref="K48:L49"/>
    <mergeCell ref="B2:C3"/>
    <mergeCell ref="D2:F3"/>
    <mergeCell ref="K2:L3"/>
  </mergeCells>
  <dataValidations disablePrompts="1" count="1">
    <dataValidation type="list" allowBlank="1" showInputMessage="1" showErrorMessage="1" sqref="U48" xr:uid="{00000000-0002-0000-0300-000000000000}">
      <formula1>"Square (wind normal to face),Square (wind along diagonal),Hexagonal or octagonal,Round (&gt;2.5) D'/D = 0,Round (&gt;2.5) D'/D = 0.2,Round (&gt;2.5) D'/D = 0.8,Round (&lt;=2.5)"</formula1>
    </dataValidation>
  </dataValidations>
  <pageMargins left="0.7" right="0.7" top="0.75" bottom="0.75" header="0.3" footer="0.3"/>
  <pageSetup orientation="portrait" horizontalDpi="1200" verticalDpi="1200" r:id="rId1"/>
  <headerFooter>
    <oddFooter>&amp;L&amp;F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0CD65-1CE8-42F1-AC6C-283DF486B7BC}">
  <dimension ref="B1:M89"/>
  <sheetViews>
    <sheetView showGridLines="0" workbookViewId="0">
      <selection activeCell="D10" sqref="D10"/>
    </sheetView>
  </sheetViews>
  <sheetFormatPr defaultRowHeight="15" x14ac:dyDescent="0.25"/>
  <cols>
    <col min="1" max="1" width="1.5703125" customWidth="1"/>
  </cols>
  <sheetData>
    <row r="1" spans="2:13" x14ac:dyDescent="0.25">
      <c r="B1" s="8" t="s">
        <v>490</v>
      </c>
      <c r="C1" s="1"/>
    </row>
    <row r="2" spans="2:13" x14ac:dyDescent="0.25">
      <c r="B2" s="43" t="s">
        <v>136</v>
      </c>
      <c r="C2" s="44"/>
      <c r="D2" s="174">
        <f>'ENV|In'!N3</f>
        <v>45043</v>
      </c>
      <c r="E2" s="27"/>
      <c r="F2" s="27"/>
      <c r="G2" s="27"/>
      <c r="H2" s="27"/>
      <c r="M2" s="1"/>
    </row>
    <row r="3" spans="2:13" x14ac:dyDescent="0.25">
      <c r="B3" s="40" t="s">
        <v>137</v>
      </c>
      <c r="C3" s="39"/>
      <c r="D3" s="174">
        <f>'ENV|In'!N4</f>
        <v>23044</v>
      </c>
      <c r="E3" s="30"/>
      <c r="F3" s="30"/>
      <c r="G3" s="30"/>
      <c r="H3" s="30"/>
    </row>
    <row r="4" spans="2:13" x14ac:dyDescent="0.25">
      <c r="B4" s="40" t="s">
        <v>138</v>
      </c>
      <c r="C4" s="39"/>
      <c r="D4" s="174">
        <f>'ENV|In'!M5</f>
        <v>0</v>
      </c>
      <c r="E4" s="30"/>
      <c r="F4" s="30"/>
      <c r="G4" s="30"/>
      <c r="H4" s="30"/>
    </row>
    <row r="6" spans="2:13" x14ac:dyDescent="0.25">
      <c r="B6" s="45" t="s">
        <v>139</v>
      </c>
      <c r="C6" s="1"/>
    </row>
    <row r="7" spans="2:13" x14ac:dyDescent="0.25">
      <c r="B7" s="30" t="s">
        <v>43</v>
      </c>
      <c r="C7" s="39"/>
      <c r="D7" s="40" t="s">
        <v>44</v>
      </c>
      <c r="E7" s="30" t="s">
        <v>45</v>
      </c>
      <c r="F7" s="39" t="s">
        <v>46</v>
      </c>
      <c r="G7" s="30" t="s">
        <v>59</v>
      </c>
      <c r="H7" s="30"/>
    </row>
    <row r="8" spans="2:13" x14ac:dyDescent="0.25">
      <c r="B8" s="1" t="s">
        <v>140</v>
      </c>
      <c r="C8" s="1" t="s">
        <v>42</v>
      </c>
      <c r="D8" s="190">
        <f>'ENV|In'!C51</f>
        <v>115</v>
      </c>
      <c r="E8" t="s">
        <v>146</v>
      </c>
      <c r="F8" s="1" t="s">
        <v>147</v>
      </c>
    </row>
    <row r="9" spans="2:13" ht="18" x14ac:dyDescent="0.25">
      <c r="B9" s="1" t="s">
        <v>491</v>
      </c>
      <c r="C9" s="1" t="s">
        <v>42</v>
      </c>
      <c r="D9" s="42">
        <f>'I|Wind'!Z68</f>
        <v>1.3</v>
      </c>
      <c r="F9" s="191">
        <v>253</v>
      </c>
      <c r="G9" t="s">
        <v>172</v>
      </c>
      <c r="H9" t="s">
        <v>492</v>
      </c>
    </row>
    <row r="10" spans="2:13" ht="18" x14ac:dyDescent="0.25">
      <c r="B10" s="1" t="s">
        <v>491</v>
      </c>
      <c r="C10" s="1" t="s">
        <v>42</v>
      </c>
      <c r="D10" s="6">
        <f>D9</f>
        <v>1.3</v>
      </c>
      <c r="F10" s="191">
        <v>253</v>
      </c>
      <c r="G10" t="s">
        <v>172</v>
      </c>
      <c r="H10" t="s">
        <v>493</v>
      </c>
    </row>
    <row r="12" spans="2:13" ht="18" x14ac:dyDescent="0.25">
      <c r="B12" s="41" t="s">
        <v>174</v>
      </c>
    </row>
    <row r="13" spans="2:13" ht="18" x14ac:dyDescent="0.25">
      <c r="B13" s="316" t="s">
        <v>153</v>
      </c>
      <c r="C13" s="317"/>
      <c r="D13" s="48" t="s">
        <v>155</v>
      </c>
      <c r="E13" s="48" t="s">
        <v>156</v>
      </c>
      <c r="F13" s="48" t="s">
        <v>251</v>
      </c>
      <c r="G13" s="57" t="s">
        <v>157</v>
      </c>
    </row>
    <row r="14" spans="2:13" x14ac:dyDescent="0.25">
      <c r="B14" s="318"/>
      <c r="C14" s="319"/>
      <c r="D14" s="58" t="s">
        <v>175</v>
      </c>
      <c r="E14" s="58" t="s">
        <v>176</v>
      </c>
      <c r="F14" s="59" t="s">
        <v>177</v>
      </c>
      <c r="G14" s="59" t="s">
        <v>192</v>
      </c>
    </row>
    <row r="15" spans="2:13" x14ac:dyDescent="0.25">
      <c r="B15" s="46" t="s">
        <v>158</v>
      </c>
      <c r="C15" s="46" t="s">
        <v>159</v>
      </c>
      <c r="D15" s="66" t="str">
        <f>'I|Wind'!M50</f>
        <v>C</v>
      </c>
      <c r="E15" s="67" t="s">
        <v>160</v>
      </c>
      <c r="F15" s="67" t="s">
        <v>180</v>
      </c>
      <c r="G15" s="65" t="s">
        <v>160</v>
      </c>
    </row>
    <row r="16" spans="2:13" x14ac:dyDescent="0.25">
      <c r="B16" s="180">
        <f>'I|Wind'!K51</f>
        <v>0</v>
      </c>
      <c r="C16" s="181">
        <f>'I|Wind'!L51</f>
        <v>0</v>
      </c>
      <c r="D16" s="186">
        <f>'I|Wind'!M51</f>
        <v>0.85</v>
      </c>
      <c r="E16" s="186">
        <f>0.00256*D16*'ENV|In'!$C$56*'ENV|In'!$C$52*'Env|In (Sec.29.5)'!$D$8^2</f>
        <v>24.460959999999996</v>
      </c>
      <c r="F16" s="186">
        <f>$D$10</f>
        <v>1.3</v>
      </c>
      <c r="G16" s="187">
        <f>E16*'ENV|In'!$M$76*$F$16</f>
        <v>27.029360799999996</v>
      </c>
    </row>
    <row r="17" spans="2:7" x14ac:dyDescent="0.25">
      <c r="B17" s="182">
        <f>'I|Wind'!K52</f>
        <v>15</v>
      </c>
      <c r="C17" s="183">
        <f>'I|Wind'!L52</f>
        <v>4.5720000000000001</v>
      </c>
      <c r="D17" s="24">
        <f>'I|Wind'!M52</f>
        <v>0.85</v>
      </c>
      <c r="E17" s="24">
        <f>0.00256*D17*'ENV|In'!$C$56*'ENV|In'!$C$52*'Env|In (Sec.29.5)'!$D$8^2</f>
        <v>24.460959999999996</v>
      </c>
      <c r="F17" s="24">
        <f t="shared" ref="F17:F38" si="0">$D$10</f>
        <v>1.3</v>
      </c>
      <c r="G17" s="188">
        <f>E17*'ENV|In'!$M$76*$F$16</f>
        <v>27.029360799999996</v>
      </c>
    </row>
    <row r="18" spans="2:7" x14ac:dyDescent="0.25">
      <c r="B18" s="182">
        <f>'I|Wind'!K53</f>
        <v>20</v>
      </c>
      <c r="C18" s="183">
        <f>'I|Wind'!L53</f>
        <v>6.0960000000000001</v>
      </c>
      <c r="D18" s="24">
        <f>'I|Wind'!M53</f>
        <v>0.9</v>
      </c>
      <c r="E18" s="24">
        <f>0.00256*D18*'ENV|In'!$C$56*'ENV|In'!$C$52*'Env|In (Sec.29.5)'!$D$8^2</f>
        <v>25.899839999999998</v>
      </c>
      <c r="F18" s="24">
        <f t="shared" si="0"/>
        <v>1.3</v>
      </c>
      <c r="G18" s="188">
        <f>E18*'ENV|In'!$M$76*$F$16</f>
        <v>28.619323199999997</v>
      </c>
    </row>
    <row r="19" spans="2:7" x14ac:dyDescent="0.25">
      <c r="B19" s="182">
        <f>'I|Wind'!K54</f>
        <v>25</v>
      </c>
      <c r="C19" s="183">
        <f>'I|Wind'!L54</f>
        <v>7.62</v>
      </c>
      <c r="D19" s="24">
        <f>'I|Wind'!M54</f>
        <v>0.94</v>
      </c>
      <c r="E19" s="24">
        <f>0.00256*D19*'ENV|In'!$C$56*'ENV|In'!$C$52*'Env|In (Sec.29.5)'!$D$8^2</f>
        <v>27.050943999999998</v>
      </c>
      <c r="F19" s="24">
        <f t="shared" si="0"/>
        <v>1.3</v>
      </c>
      <c r="G19" s="188">
        <f>E19*'ENV|In'!$M$76*$F$16</f>
        <v>29.891293119999997</v>
      </c>
    </row>
    <row r="20" spans="2:7" x14ac:dyDescent="0.25">
      <c r="B20" s="182">
        <f>'I|Wind'!K55</f>
        <v>30</v>
      </c>
      <c r="C20" s="183">
        <f>'I|Wind'!L55</f>
        <v>9.1440000000000001</v>
      </c>
      <c r="D20" s="24">
        <f>'I|Wind'!M55</f>
        <v>0.98</v>
      </c>
      <c r="E20" s="24">
        <f>0.00256*D20*'ENV|In'!$C$56*'ENV|In'!$C$52*'Env|In (Sec.29.5)'!$D$8^2</f>
        <v>28.202047999999998</v>
      </c>
      <c r="F20" s="24">
        <f t="shared" si="0"/>
        <v>1.3</v>
      </c>
      <c r="G20" s="188">
        <f>E20*'ENV|In'!$M$76*$F$16</f>
        <v>31.16326304</v>
      </c>
    </row>
    <row r="21" spans="2:7" x14ac:dyDescent="0.25">
      <c r="B21" s="182">
        <f>'I|Wind'!K56</f>
        <v>40</v>
      </c>
      <c r="C21" s="183">
        <f>'I|Wind'!L56</f>
        <v>12.192</v>
      </c>
      <c r="D21" s="24">
        <f>'I|Wind'!M56</f>
        <v>1.04</v>
      </c>
      <c r="E21" s="24">
        <f>0.00256*D21*'ENV|In'!$C$56*'ENV|In'!$C$52*'Env|In (Sec.29.5)'!$D$8^2</f>
        <v>29.928704</v>
      </c>
      <c r="F21" s="24">
        <f t="shared" si="0"/>
        <v>1.3</v>
      </c>
      <c r="G21" s="188">
        <f>E21*'ENV|In'!$M$76*$F$16</f>
        <v>33.071217920000002</v>
      </c>
    </row>
    <row r="22" spans="2:7" x14ac:dyDescent="0.25">
      <c r="B22" s="182">
        <f>'I|Wind'!K57</f>
        <v>50</v>
      </c>
      <c r="C22" s="183">
        <f>'I|Wind'!L57</f>
        <v>15.24</v>
      </c>
      <c r="D22" s="24">
        <f>'I|Wind'!M57</f>
        <v>1.0900000000000001</v>
      </c>
      <c r="E22" s="24">
        <f>0.00256*D22*'ENV|In'!$C$56*'ENV|In'!$C$52*'Env|In (Sec.29.5)'!$D$8^2</f>
        <v>31.367584000000008</v>
      </c>
      <c r="F22" s="24">
        <f t="shared" si="0"/>
        <v>1.3</v>
      </c>
      <c r="G22" s="188">
        <f>E22*'ENV|In'!$M$76*$F$16</f>
        <v>34.661180320000014</v>
      </c>
    </row>
    <row r="23" spans="2:7" x14ac:dyDescent="0.25">
      <c r="B23" s="182">
        <f>'I|Wind'!K58</f>
        <v>60</v>
      </c>
      <c r="C23" s="183">
        <f>'I|Wind'!L58</f>
        <v>18.288</v>
      </c>
      <c r="D23" s="24">
        <f>'I|Wind'!M58</f>
        <v>1.1299999999999999</v>
      </c>
      <c r="E23" s="24">
        <f>0.00256*D23*'ENV|In'!$C$56*'ENV|In'!$C$52*'Env|In (Sec.29.5)'!$D$8^2</f>
        <v>32.518688000000004</v>
      </c>
      <c r="F23" s="24">
        <f t="shared" si="0"/>
        <v>1.3</v>
      </c>
      <c r="G23" s="188">
        <f>E23*'ENV|In'!$M$76*$F$16</f>
        <v>35.933150240000003</v>
      </c>
    </row>
    <row r="24" spans="2:7" x14ac:dyDescent="0.25">
      <c r="B24" s="182">
        <f>'I|Wind'!K59</f>
        <v>70</v>
      </c>
      <c r="C24" s="183">
        <f>'I|Wind'!L59</f>
        <v>21.336000000000002</v>
      </c>
      <c r="D24" s="24">
        <f>'I|Wind'!M59</f>
        <v>1.17</v>
      </c>
      <c r="E24" s="24">
        <f>0.00256*D24*'ENV|In'!$C$56*'ENV|In'!$C$52*'Env|In (Sec.29.5)'!$D$8^2</f>
        <v>33.669791999999994</v>
      </c>
      <c r="F24" s="24">
        <f t="shared" si="0"/>
        <v>1.3</v>
      </c>
      <c r="G24" s="188">
        <f>E24*'ENV|In'!$M$76*$F$16</f>
        <v>37.205120159999993</v>
      </c>
    </row>
    <row r="25" spans="2:7" x14ac:dyDescent="0.25">
      <c r="B25" s="182">
        <f>'I|Wind'!K60</f>
        <v>80</v>
      </c>
      <c r="C25" s="183">
        <f>'I|Wind'!L60</f>
        <v>24.384</v>
      </c>
      <c r="D25" s="24">
        <f>'I|Wind'!M60</f>
        <v>1.21</v>
      </c>
      <c r="E25" s="24">
        <f>0.00256*D25*'ENV|In'!$C$56*'ENV|In'!$C$52*'Env|In (Sec.29.5)'!$D$8^2</f>
        <v>34.820896000000005</v>
      </c>
      <c r="F25" s="24">
        <f t="shared" si="0"/>
        <v>1.3</v>
      </c>
      <c r="G25" s="188">
        <f>E25*'ENV|In'!$M$76*$F$16</f>
        <v>38.477090080000004</v>
      </c>
    </row>
    <row r="26" spans="2:7" x14ac:dyDescent="0.25">
      <c r="B26" s="182">
        <f>'I|Wind'!K61</f>
        <v>90</v>
      </c>
      <c r="C26" s="183">
        <f>'I|Wind'!L61</f>
        <v>27.432000000000002</v>
      </c>
      <c r="D26" s="24">
        <f>'I|Wind'!M61</f>
        <v>1.24</v>
      </c>
      <c r="E26" s="24">
        <f>0.00256*D26*'ENV|In'!$C$56*'ENV|In'!$C$52*'Env|In (Sec.29.5)'!$D$8^2</f>
        <v>35.684224</v>
      </c>
      <c r="F26" s="24">
        <f t="shared" si="0"/>
        <v>1.3</v>
      </c>
      <c r="G26" s="188">
        <f>E26*'ENV|In'!$M$76*$F$16</f>
        <v>39.431067519999999</v>
      </c>
    </row>
    <row r="27" spans="2:7" x14ac:dyDescent="0.25">
      <c r="B27" s="182">
        <f>'I|Wind'!K62</f>
        <v>100</v>
      </c>
      <c r="C27" s="183">
        <f>'I|Wind'!L62</f>
        <v>30.48</v>
      </c>
      <c r="D27" s="24">
        <f>'I|Wind'!M62</f>
        <v>1.26</v>
      </c>
      <c r="E27" s="24">
        <f>0.00256*D27*'ENV|In'!$C$56*'ENV|In'!$C$52*'Env|In (Sec.29.5)'!$D$8^2</f>
        <v>36.259776000000002</v>
      </c>
      <c r="F27" s="24">
        <f t="shared" si="0"/>
        <v>1.3</v>
      </c>
      <c r="G27" s="188">
        <f>E27*'ENV|In'!$M$76*$F$16</f>
        <v>40.067052480000001</v>
      </c>
    </row>
    <row r="28" spans="2:7" x14ac:dyDescent="0.25">
      <c r="B28" s="182">
        <f>'I|Wind'!K63</f>
        <v>120</v>
      </c>
      <c r="C28" s="183">
        <f>'I|Wind'!L63</f>
        <v>36.576000000000001</v>
      </c>
      <c r="D28" s="24">
        <f>'I|Wind'!M63</f>
        <v>1.31</v>
      </c>
      <c r="E28" s="24">
        <f>0.00256*D28*'ENV|In'!$C$56*'ENV|In'!$C$52*'Env|In (Sec.29.5)'!$D$8^2</f>
        <v>37.698656</v>
      </c>
      <c r="F28" s="24">
        <f t="shared" si="0"/>
        <v>1.3</v>
      </c>
      <c r="G28" s="188">
        <f>E28*'ENV|In'!$M$76*$F$16</f>
        <v>41.657014879999998</v>
      </c>
    </row>
    <row r="29" spans="2:7" x14ac:dyDescent="0.25">
      <c r="B29" s="182">
        <f>'I|Wind'!K64</f>
        <v>140</v>
      </c>
      <c r="C29" s="183">
        <f>'I|Wind'!L64</f>
        <v>42.672000000000004</v>
      </c>
      <c r="D29" s="24">
        <f>'I|Wind'!M64</f>
        <v>1.36</v>
      </c>
      <c r="E29" s="24">
        <f>0.00256*D29*'ENV|In'!$C$56*'ENV|In'!$C$52*'Env|In (Sec.29.5)'!$D$8^2</f>
        <v>39.137536000000004</v>
      </c>
      <c r="F29" s="24">
        <f t="shared" si="0"/>
        <v>1.3</v>
      </c>
      <c r="G29" s="188">
        <f>E29*'ENV|In'!$M$76*$F$16</f>
        <v>43.246977280000003</v>
      </c>
    </row>
    <row r="30" spans="2:7" x14ac:dyDescent="0.25">
      <c r="B30" s="182">
        <f>'I|Wind'!K65</f>
        <v>160</v>
      </c>
      <c r="C30" s="183">
        <f>'I|Wind'!L65</f>
        <v>48.768000000000001</v>
      </c>
      <c r="D30" s="24">
        <f>'I|Wind'!M65</f>
        <v>1.39</v>
      </c>
      <c r="E30" s="24">
        <f>0.00256*D30*'ENV|In'!$C$56*'ENV|In'!$C$52*'Env|In (Sec.29.5)'!$D$8^2</f>
        <v>40.000864</v>
      </c>
      <c r="F30" s="24">
        <f t="shared" si="0"/>
        <v>1.3</v>
      </c>
      <c r="G30" s="188">
        <f>E30*'ENV|In'!$M$76*$F$16</f>
        <v>44.200954719999999</v>
      </c>
    </row>
    <row r="31" spans="2:7" x14ac:dyDescent="0.25">
      <c r="B31" s="182">
        <f>'I|Wind'!K66</f>
        <v>180</v>
      </c>
      <c r="C31" s="183">
        <f>'I|Wind'!L66</f>
        <v>54.864000000000004</v>
      </c>
      <c r="D31" s="24">
        <f>'I|Wind'!M66</f>
        <v>1.43</v>
      </c>
      <c r="E31" s="24">
        <f>0.00256*D31*'ENV|In'!$C$56*'ENV|In'!$C$52*'Env|In (Sec.29.5)'!$D$8^2</f>
        <v>41.151967999999997</v>
      </c>
      <c r="F31" s="24">
        <f t="shared" si="0"/>
        <v>1.3</v>
      </c>
      <c r="G31" s="188">
        <f>E31*'ENV|In'!$M$76*$F$16</f>
        <v>45.472924639999995</v>
      </c>
    </row>
    <row r="32" spans="2:7" x14ac:dyDescent="0.25">
      <c r="B32" s="182">
        <f>'I|Wind'!K67</f>
        <v>200</v>
      </c>
      <c r="C32" s="183">
        <f>'I|Wind'!L67</f>
        <v>60.96</v>
      </c>
      <c r="D32" s="24">
        <f>'I|Wind'!M67</f>
        <v>1.46</v>
      </c>
      <c r="E32" s="24">
        <f>0.00256*D32*'ENV|In'!$C$56*'ENV|In'!$C$52*'Env|In (Sec.29.5)'!$D$8^2</f>
        <v>42.015295999999999</v>
      </c>
      <c r="F32" s="24">
        <f t="shared" si="0"/>
        <v>1.3</v>
      </c>
      <c r="G32" s="188">
        <f>E32*'ENV|In'!$M$76*$F$16</f>
        <v>46.426902079999998</v>
      </c>
    </row>
    <row r="33" spans="2:8" x14ac:dyDescent="0.25">
      <c r="B33" s="182">
        <f>'I|Wind'!K68</f>
        <v>250</v>
      </c>
      <c r="C33" s="183">
        <f>'I|Wind'!L68</f>
        <v>76.2</v>
      </c>
      <c r="D33" s="24">
        <f>'I|Wind'!M68</f>
        <v>1.53</v>
      </c>
      <c r="E33" s="24">
        <f>0.00256*D33*'ENV|In'!$C$56*'ENV|In'!$C$52*'Env|In (Sec.29.5)'!$D$8^2</f>
        <v>44.029728000000006</v>
      </c>
      <c r="F33" s="24">
        <f t="shared" si="0"/>
        <v>1.3</v>
      </c>
      <c r="G33" s="188">
        <f>E33*'ENV|In'!$M$76*$F$16</f>
        <v>48.652849440000011</v>
      </c>
    </row>
    <row r="34" spans="2:8" x14ac:dyDescent="0.25">
      <c r="B34" s="182">
        <f>'I|Wind'!K69</f>
        <v>300</v>
      </c>
      <c r="C34" s="183">
        <f>'I|Wind'!L69</f>
        <v>91.44</v>
      </c>
      <c r="D34" s="24">
        <f>'I|Wind'!M69</f>
        <v>1.59</v>
      </c>
      <c r="E34" s="24">
        <f>0.00256*D34*'ENV|In'!$C$56*'ENV|In'!$C$52*'Env|In (Sec.29.5)'!$D$8^2</f>
        <v>45.756384000000004</v>
      </c>
      <c r="F34" s="24">
        <f t="shared" si="0"/>
        <v>1.3</v>
      </c>
      <c r="G34" s="188">
        <f>E34*'ENV|In'!$M$76*$F$16</f>
        <v>50.560804320000003</v>
      </c>
    </row>
    <row r="35" spans="2:8" x14ac:dyDescent="0.25">
      <c r="B35" s="182">
        <f>'I|Wind'!K70</f>
        <v>350</v>
      </c>
      <c r="C35" s="183">
        <f>'I|Wind'!L70</f>
        <v>106.68</v>
      </c>
      <c r="D35" s="24">
        <f>'I|Wind'!M70</f>
        <v>1.64</v>
      </c>
      <c r="E35" s="24">
        <f>0.00256*D35*'ENV|In'!$C$56*'ENV|In'!$C$52*'Env|In (Sec.29.5)'!$D$8^2</f>
        <v>47.195263999999995</v>
      </c>
      <c r="F35" s="24">
        <f t="shared" si="0"/>
        <v>1.3</v>
      </c>
      <c r="G35" s="188">
        <f>E35*'ENV|In'!$M$76*$F$16</f>
        <v>52.150766719999993</v>
      </c>
    </row>
    <row r="36" spans="2:8" x14ac:dyDescent="0.25">
      <c r="B36" s="182">
        <f>'I|Wind'!K71</f>
        <v>400</v>
      </c>
      <c r="C36" s="183">
        <f>'I|Wind'!L71</f>
        <v>121.92</v>
      </c>
      <c r="D36" s="24">
        <f>'I|Wind'!M71</f>
        <v>1.69</v>
      </c>
      <c r="E36" s="24">
        <f>0.00256*D36*'ENV|In'!$C$56*'ENV|In'!$C$52*'Env|In (Sec.29.5)'!$D$8^2</f>
        <v>48.634143999999999</v>
      </c>
      <c r="F36" s="24">
        <f t="shared" si="0"/>
        <v>1.3</v>
      </c>
      <c r="G36" s="188">
        <f>E36*'ENV|In'!$M$76*$F$16</f>
        <v>53.740729119999997</v>
      </c>
    </row>
    <row r="37" spans="2:8" x14ac:dyDescent="0.25">
      <c r="B37" s="182">
        <f>'I|Wind'!K72</f>
        <v>450</v>
      </c>
      <c r="C37" s="183">
        <f>'I|Wind'!L72</f>
        <v>137.16</v>
      </c>
      <c r="D37" s="24">
        <f>'I|Wind'!M72</f>
        <v>1.73</v>
      </c>
      <c r="E37" s="24">
        <f>0.00256*D37*'ENV|In'!$C$56*'ENV|In'!$C$52*'Env|In (Sec.29.5)'!$D$8^2</f>
        <v>49.785248000000003</v>
      </c>
      <c r="F37" s="24">
        <f t="shared" si="0"/>
        <v>1.3</v>
      </c>
      <c r="G37" s="188">
        <f>E37*'ENV|In'!$M$76*$F$16</f>
        <v>55.012699040000001</v>
      </c>
    </row>
    <row r="38" spans="2:8" x14ac:dyDescent="0.25">
      <c r="B38" s="184">
        <f>'I|Wind'!K73</f>
        <v>500</v>
      </c>
      <c r="C38" s="185">
        <f>'I|Wind'!L73</f>
        <v>152.4</v>
      </c>
      <c r="D38" s="15">
        <f>'I|Wind'!M73</f>
        <v>1.77</v>
      </c>
      <c r="E38" s="15">
        <f>0.00256*D38*'ENV|In'!$C$56*'ENV|In'!$C$52*'Env|In (Sec.29.5)'!$D$8^2</f>
        <v>50.936351999999999</v>
      </c>
      <c r="F38" s="15">
        <f t="shared" si="0"/>
        <v>1.3</v>
      </c>
      <c r="G38" s="189">
        <f>E38*'ENV|In'!$M$76*$F$16</f>
        <v>56.284668960000005</v>
      </c>
    </row>
    <row r="39" spans="2:8" x14ac:dyDescent="0.25">
      <c r="B39" s="102" t="s">
        <v>252</v>
      </c>
    </row>
    <row r="40" spans="2:8" x14ac:dyDescent="0.25">
      <c r="B40" s="104" t="s">
        <v>179</v>
      </c>
    </row>
    <row r="41" spans="2:8" x14ac:dyDescent="0.25">
      <c r="B41" s="104" t="s">
        <v>178</v>
      </c>
    </row>
    <row r="42" spans="2:8" x14ac:dyDescent="0.25">
      <c r="B42" s="104" t="s">
        <v>495</v>
      </c>
    </row>
    <row r="43" spans="2:8" x14ac:dyDescent="0.25">
      <c r="B43" s="104" t="s">
        <v>494</v>
      </c>
    </row>
    <row r="44" spans="2:8" x14ac:dyDescent="0.25">
      <c r="B44" s="104"/>
    </row>
    <row r="47" spans="2:8" x14ac:dyDescent="0.25">
      <c r="B47" s="8" t="s">
        <v>490</v>
      </c>
      <c r="C47" s="1"/>
    </row>
    <row r="48" spans="2:8" x14ac:dyDescent="0.25">
      <c r="B48" s="43" t="s">
        <v>136</v>
      </c>
      <c r="C48" s="44"/>
      <c r="D48" s="174">
        <f>D2</f>
        <v>45043</v>
      </c>
      <c r="E48" s="27"/>
      <c r="F48" s="27"/>
      <c r="G48" s="27"/>
      <c r="H48" s="27"/>
    </row>
    <row r="49" spans="2:8" x14ac:dyDescent="0.25">
      <c r="B49" s="40" t="s">
        <v>137</v>
      </c>
      <c r="C49" s="39"/>
      <c r="D49" s="174">
        <f>D3</f>
        <v>23044</v>
      </c>
      <c r="E49" s="30"/>
      <c r="F49" s="30"/>
      <c r="G49" s="30"/>
      <c r="H49" s="30"/>
    </row>
    <row r="50" spans="2:8" x14ac:dyDescent="0.25">
      <c r="B50" s="40" t="s">
        <v>138</v>
      </c>
      <c r="C50" s="39"/>
      <c r="D50" s="174">
        <f>D4</f>
        <v>0</v>
      </c>
      <c r="E50" s="30"/>
      <c r="F50" s="30"/>
      <c r="G50" s="30"/>
      <c r="H50" s="30"/>
    </row>
    <row r="52" spans="2:8" x14ac:dyDescent="0.25">
      <c r="B52" s="45" t="s">
        <v>139</v>
      </c>
      <c r="C52" s="1"/>
    </row>
    <row r="53" spans="2:8" x14ac:dyDescent="0.25">
      <c r="B53" s="30" t="s">
        <v>43</v>
      </c>
      <c r="C53" s="39"/>
      <c r="D53" s="40" t="s">
        <v>44</v>
      </c>
      <c r="E53" s="30" t="s">
        <v>45</v>
      </c>
      <c r="F53" s="39" t="s">
        <v>46</v>
      </c>
      <c r="G53" s="30" t="s">
        <v>59</v>
      </c>
      <c r="H53" s="30"/>
    </row>
    <row r="54" spans="2:8" x14ac:dyDescent="0.25">
      <c r="B54" s="1" t="s">
        <v>140</v>
      </c>
      <c r="C54" s="1" t="s">
        <v>42</v>
      </c>
      <c r="D54" s="195">
        <v>35</v>
      </c>
      <c r="E54" t="s">
        <v>146</v>
      </c>
      <c r="F54" s="1" t="s">
        <v>147</v>
      </c>
    </row>
    <row r="55" spans="2:8" ht="18" x14ac:dyDescent="0.25">
      <c r="B55" s="1" t="s">
        <v>491</v>
      </c>
      <c r="C55" s="1" t="s">
        <v>42</v>
      </c>
      <c r="D55" s="42">
        <f>D9</f>
        <v>1.3</v>
      </c>
      <c r="F55" s="191">
        <v>253</v>
      </c>
      <c r="G55" t="s">
        <v>172</v>
      </c>
      <c r="H55" t="s">
        <v>492</v>
      </c>
    </row>
    <row r="56" spans="2:8" ht="18" x14ac:dyDescent="0.25">
      <c r="B56" s="1" t="s">
        <v>491</v>
      </c>
      <c r="C56" s="1" t="s">
        <v>42</v>
      </c>
      <c r="D56" s="42">
        <f>D10</f>
        <v>1.3</v>
      </c>
      <c r="F56" s="191">
        <v>253</v>
      </c>
      <c r="G56" t="s">
        <v>172</v>
      </c>
      <c r="H56" t="s">
        <v>493</v>
      </c>
    </row>
    <row r="58" spans="2:8" ht="18" x14ac:dyDescent="0.25">
      <c r="B58" s="41" t="s">
        <v>174</v>
      </c>
    </row>
    <row r="59" spans="2:8" ht="18" x14ac:dyDescent="0.25">
      <c r="B59" s="316" t="s">
        <v>153</v>
      </c>
      <c r="C59" s="317"/>
      <c r="D59" s="48" t="s">
        <v>155</v>
      </c>
      <c r="E59" s="48" t="s">
        <v>156</v>
      </c>
      <c r="F59" s="48" t="s">
        <v>251</v>
      </c>
      <c r="G59" s="57" t="s">
        <v>157</v>
      </c>
    </row>
    <row r="60" spans="2:8" x14ac:dyDescent="0.25">
      <c r="B60" s="318"/>
      <c r="C60" s="319"/>
      <c r="D60" s="58" t="s">
        <v>175</v>
      </c>
      <c r="E60" s="58" t="s">
        <v>176</v>
      </c>
      <c r="F60" s="59" t="s">
        <v>177</v>
      </c>
      <c r="G60" s="59" t="s">
        <v>192</v>
      </c>
    </row>
    <row r="61" spans="2:8" x14ac:dyDescent="0.25">
      <c r="B61" s="46" t="s">
        <v>158</v>
      </c>
      <c r="C61" s="46" t="s">
        <v>159</v>
      </c>
      <c r="D61" s="66" t="str">
        <f t="shared" ref="D61:D84" si="1">D15</f>
        <v>C</v>
      </c>
      <c r="E61" s="67" t="s">
        <v>160</v>
      </c>
      <c r="F61" s="67" t="s">
        <v>180</v>
      </c>
      <c r="G61" s="65" t="s">
        <v>160</v>
      </c>
    </row>
    <row r="62" spans="2:8" x14ac:dyDescent="0.25">
      <c r="B62" s="180">
        <f t="shared" ref="B62:C84" si="2">B16</f>
        <v>0</v>
      </c>
      <c r="C62" s="180">
        <f t="shared" si="2"/>
        <v>0</v>
      </c>
      <c r="D62" s="186">
        <f t="shared" si="1"/>
        <v>0.85</v>
      </c>
      <c r="E62" s="186">
        <f>0.00256*D62*'ENV|In'!$C$56*'ENV|In'!$C$52*'Env|In (Sec.29.5)'!$D$54^2</f>
        <v>2.2657599999999998</v>
      </c>
      <c r="F62" s="192">
        <f t="shared" ref="F62:F84" si="3">F16</f>
        <v>1.3</v>
      </c>
      <c r="G62" s="187">
        <f>E62*'ENV|In'!$M$76*$F$62</f>
        <v>2.5036647999999997</v>
      </c>
    </row>
    <row r="63" spans="2:8" x14ac:dyDescent="0.25">
      <c r="B63" s="182">
        <f t="shared" si="2"/>
        <v>15</v>
      </c>
      <c r="C63" s="182">
        <f t="shared" si="2"/>
        <v>4.5720000000000001</v>
      </c>
      <c r="D63" s="24">
        <f t="shared" si="1"/>
        <v>0.85</v>
      </c>
      <c r="E63" s="24">
        <f>0.00256*D63*'ENV|In'!$C$56*'ENV|In'!$C$52*'Env|In (Sec.29.5)'!$D$54^2</f>
        <v>2.2657599999999998</v>
      </c>
      <c r="F63" s="193">
        <f t="shared" si="3"/>
        <v>1.3</v>
      </c>
      <c r="G63" s="188">
        <f>E63*'ENV|In'!$M$76*$F$62</f>
        <v>2.5036647999999997</v>
      </c>
    </row>
    <row r="64" spans="2:8" x14ac:dyDescent="0.25">
      <c r="B64" s="182">
        <f t="shared" si="2"/>
        <v>20</v>
      </c>
      <c r="C64" s="182">
        <f t="shared" si="2"/>
        <v>6.0960000000000001</v>
      </c>
      <c r="D64" s="24">
        <f t="shared" si="1"/>
        <v>0.9</v>
      </c>
      <c r="E64" s="24">
        <f>0.00256*D64*'ENV|In'!$C$56*'ENV|In'!$C$52*'Env|In (Sec.29.5)'!$D$54^2</f>
        <v>2.3990399999999998</v>
      </c>
      <c r="F64" s="193">
        <f t="shared" si="3"/>
        <v>1.3</v>
      </c>
      <c r="G64" s="188">
        <f>E64*'ENV|In'!$M$76*$F$62</f>
        <v>2.6509391999999998</v>
      </c>
    </row>
    <row r="65" spans="2:7" x14ac:dyDescent="0.25">
      <c r="B65" s="182">
        <f t="shared" si="2"/>
        <v>25</v>
      </c>
      <c r="C65" s="182">
        <f t="shared" si="2"/>
        <v>7.62</v>
      </c>
      <c r="D65" s="24">
        <f t="shared" si="1"/>
        <v>0.94</v>
      </c>
      <c r="E65" s="24">
        <f>0.00256*D65*'ENV|In'!$C$56*'ENV|In'!$C$52*'Env|In (Sec.29.5)'!$D$54^2</f>
        <v>2.5056639999999999</v>
      </c>
      <c r="F65" s="193">
        <f t="shared" si="3"/>
        <v>1.3</v>
      </c>
      <c r="G65" s="188">
        <f>E65*'ENV|In'!$M$76*$F$62</f>
        <v>2.7687587200000001</v>
      </c>
    </row>
    <row r="66" spans="2:7" x14ac:dyDescent="0.25">
      <c r="B66" s="182">
        <f t="shared" si="2"/>
        <v>30</v>
      </c>
      <c r="C66" s="182">
        <f t="shared" si="2"/>
        <v>9.1440000000000001</v>
      </c>
      <c r="D66" s="24">
        <f t="shared" si="1"/>
        <v>0.98</v>
      </c>
      <c r="E66" s="24">
        <f>0.00256*D66*'ENV|In'!$C$56*'ENV|In'!$C$52*'Env|In (Sec.29.5)'!$D$54^2</f>
        <v>2.6122879999999999</v>
      </c>
      <c r="F66" s="193">
        <f t="shared" si="3"/>
        <v>1.3</v>
      </c>
      <c r="G66" s="188">
        <f>E66*'ENV|In'!$M$76*$F$62</f>
        <v>2.8865782400000004</v>
      </c>
    </row>
    <row r="67" spans="2:7" x14ac:dyDescent="0.25">
      <c r="B67" s="182">
        <f t="shared" si="2"/>
        <v>40</v>
      </c>
      <c r="C67" s="182">
        <f t="shared" si="2"/>
        <v>12.192</v>
      </c>
      <c r="D67" s="24">
        <f t="shared" si="1"/>
        <v>1.04</v>
      </c>
      <c r="E67" s="24">
        <f>0.00256*D67*'ENV|In'!$C$56*'ENV|In'!$C$52*'Env|In (Sec.29.5)'!$D$54^2</f>
        <v>2.772224</v>
      </c>
      <c r="F67" s="193">
        <f t="shared" si="3"/>
        <v>1.3</v>
      </c>
      <c r="G67" s="188">
        <f>E67*'ENV|In'!$M$76*$F$62</f>
        <v>3.06330752</v>
      </c>
    </row>
    <row r="68" spans="2:7" x14ac:dyDescent="0.25">
      <c r="B68" s="182">
        <f t="shared" si="2"/>
        <v>50</v>
      </c>
      <c r="C68" s="182">
        <f t="shared" si="2"/>
        <v>15.24</v>
      </c>
      <c r="D68" s="24">
        <f t="shared" si="1"/>
        <v>1.0900000000000001</v>
      </c>
      <c r="E68" s="24">
        <f>0.00256*D68*'ENV|In'!$C$56*'ENV|In'!$C$52*'Env|In (Sec.29.5)'!$D$54^2</f>
        <v>2.9055040000000005</v>
      </c>
      <c r="F68" s="193">
        <f t="shared" si="3"/>
        <v>1.3</v>
      </c>
      <c r="G68" s="188">
        <f>E68*'ENV|In'!$M$76*$F$62</f>
        <v>3.2105819200000005</v>
      </c>
    </row>
    <row r="69" spans="2:7" x14ac:dyDescent="0.25">
      <c r="B69" s="182">
        <f t="shared" si="2"/>
        <v>60</v>
      </c>
      <c r="C69" s="182">
        <f t="shared" si="2"/>
        <v>18.288</v>
      </c>
      <c r="D69" s="24">
        <f t="shared" si="1"/>
        <v>1.1299999999999999</v>
      </c>
      <c r="E69" s="24">
        <f>0.00256*D69*'ENV|In'!$C$56*'ENV|In'!$C$52*'Env|In (Sec.29.5)'!$D$54^2</f>
        <v>3.0121280000000001</v>
      </c>
      <c r="F69" s="193">
        <f t="shared" si="3"/>
        <v>1.3</v>
      </c>
      <c r="G69" s="188">
        <f>E69*'ENV|In'!$M$76*$F$62</f>
        <v>3.3284014400000004</v>
      </c>
    </row>
    <row r="70" spans="2:7" x14ac:dyDescent="0.25">
      <c r="B70" s="182">
        <f t="shared" si="2"/>
        <v>70</v>
      </c>
      <c r="C70" s="182">
        <f t="shared" si="2"/>
        <v>21.336000000000002</v>
      </c>
      <c r="D70" s="24">
        <f t="shared" si="1"/>
        <v>1.17</v>
      </c>
      <c r="E70" s="24">
        <f>0.00256*D70*'ENV|In'!$C$56*'ENV|In'!$C$52*'Env|In (Sec.29.5)'!$D$54^2</f>
        <v>3.1187519999999997</v>
      </c>
      <c r="F70" s="193">
        <f t="shared" si="3"/>
        <v>1.3</v>
      </c>
      <c r="G70" s="188">
        <f>E70*'ENV|In'!$M$76*$F$62</f>
        <v>3.4462209599999998</v>
      </c>
    </row>
    <row r="71" spans="2:7" x14ac:dyDescent="0.25">
      <c r="B71" s="182">
        <f t="shared" si="2"/>
        <v>80</v>
      </c>
      <c r="C71" s="182">
        <f t="shared" si="2"/>
        <v>24.384</v>
      </c>
      <c r="D71" s="24">
        <f t="shared" si="1"/>
        <v>1.21</v>
      </c>
      <c r="E71" s="24">
        <f>0.00256*D71*'ENV|In'!$C$56*'ENV|In'!$C$52*'Env|In (Sec.29.5)'!$D$54^2</f>
        <v>3.2253760000000002</v>
      </c>
      <c r="F71" s="193">
        <f t="shared" si="3"/>
        <v>1.3</v>
      </c>
      <c r="G71" s="188">
        <f>E71*'ENV|In'!$M$76*$F$62</f>
        <v>3.5640404800000001</v>
      </c>
    </row>
    <row r="72" spans="2:7" x14ac:dyDescent="0.25">
      <c r="B72" s="182">
        <f t="shared" si="2"/>
        <v>90</v>
      </c>
      <c r="C72" s="182">
        <f t="shared" si="2"/>
        <v>27.432000000000002</v>
      </c>
      <c r="D72" s="24">
        <f t="shared" si="1"/>
        <v>1.24</v>
      </c>
      <c r="E72" s="24">
        <f>0.00256*D72*'ENV|In'!$C$56*'ENV|In'!$C$52*'Env|In (Sec.29.5)'!$D$54^2</f>
        <v>3.3053440000000003</v>
      </c>
      <c r="F72" s="193">
        <f t="shared" si="3"/>
        <v>1.3</v>
      </c>
      <c r="G72" s="188">
        <f>E72*'ENV|In'!$M$76*$F$62</f>
        <v>3.6524051200000005</v>
      </c>
    </row>
    <row r="73" spans="2:7" x14ac:dyDescent="0.25">
      <c r="B73" s="182">
        <f t="shared" si="2"/>
        <v>100</v>
      </c>
      <c r="C73" s="182">
        <f t="shared" si="2"/>
        <v>30.48</v>
      </c>
      <c r="D73" s="24">
        <f t="shared" si="1"/>
        <v>1.26</v>
      </c>
      <c r="E73" s="24">
        <f>0.00256*D73*'ENV|In'!$C$56*'ENV|In'!$C$52*'Env|In (Sec.29.5)'!$D$54^2</f>
        <v>3.3586560000000003</v>
      </c>
      <c r="F73" s="193">
        <f t="shared" si="3"/>
        <v>1.3</v>
      </c>
      <c r="G73" s="188">
        <f>E73*'ENV|In'!$M$76*$F$62</f>
        <v>3.7113148800000006</v>
      </c>
    </row>
    <row r="74" spans="2:7" x14ac:dyDescent="0.25">
      <c r="B74" s="182">
        <f t="shared" si="2"/>
        <v>120</v>
      </c>
      <c r="C74" s="182">
        <f t="shared" si="2"/>
        <v>36.576000000000001</v>
      </c>
      <c r="D74" s="24">
        <f t="shared" si="1"/>
        <v>1.31</v>
      </c>
      <c r="E74" s="24">
        <f>0.00256*D74*'ENV|In'!$C$56*'ENV|In'!$C$52*'Env|In (Sec.29.5)'!$D$54^2</f>
        <v>3.4919360000000004</v>
      </c>
      <c r="F74" s="193">
        <f t="shared" si="3"/>
        <v>1.3</v>
      </c>
      <c r="G74" s="188">
        <f>E74*'ENV|In'!$M$76*$F$62</f>
        <v>3.8585892800000003</v>
      </c>
    </row>
    <row r="75" spans="2:7" x14ac:dyDescent="0.25">
      <c r="B75" s="182">
        <f t="shared" si="2"/>
        <v>140</v>
      </c>
      <c r="C75" s="182">
        <f t="shared" si="2"/>
        <v>42.672000000000004</v>
      </c>
      <c r="D75" s="24">
        <f t="shared" si="1"/>
        <v>1.36</v>
      </c>
      <c r="E75" s="24">
        <f>0.00256*D75*'ENV|In'!$C$56*'ENV|In'!$C$52*'Env|In (Sec.29.5)'!$D$54^2</f>
        <v>3.6252160000000004</v>
      </c>
      <c r="F75" s="193">
        <f t="shared" si="3"/>
        <v>1.3</v>
      </c>
      <c r="G75" s="188">
        <f>E75*'ENV|In'!$M$76*$F$62</f>
        <v>4.0058636800000009</v>
      </c>
    </row>
    <row r="76" spans="2:7" x14ac:dyDescent="0.25">
      <c r="B76" s="182">
        <f t="shared" si="2"/>
        <v>160</v>
      </c>
      <c r="C76" s="182">
        <f t="shared" si="2"/>
        <v>48.768000000000001</v>
      </c>
      <c r="D76" s="24">
        <f t="shared" si="1"/>
        <v>1.39</v>
      </c>
      <c r="E76" s="24">
        <f>0.00256*D76*'ENV|In'!$C$56*'ENV|In'!$C$52*'Env|In (Sec.29.5)'!$D$54^2</f>
        <v>3.705184</v>
      </c>
      <c r="F76" s="193">
        <f t="shared" si="3"/>
        <v>1.3</v>
      </c>
      <c r="G76" s="188">
        <f>E76*'ENV|In'!$M$76*$F$62</f>
        <v>4.09422832</v>
      </c>
    </row>
    <row r="77" spans="2:7" x14ac:dyDescent="0.25">
      <c r="B77" s="182">
        <f t="shared" si="2"/>
        <v>180</v>
      </c>
      <c r="C77" s="182">
        <f t="shared" si="2"/>
        <v>54.864000000000004</v>
      </c>
      <c r="D77" s="24">
        <f t="shared" si="1"/>
        <v>1.43</v>
      </c>
      <c r="E77" s="24">
        <f>0.00256*D77*'ENV|In'!$C$56*'ENV|In'!$C$52*'Env|In (Sec.29.5)'!$D$54^2</f>
        <v>3.8118080000000001</v>
      </c>
      <c r="F77" s="193">
        <f t="shared" si="3"/>
        <v>1.3</v>
      </c>
      <c r="G77" s="188">
        <f>E77*'ENV|In'!$M$76*$F$62</f>
        <v>4.2120478400000003</v>
      </c>
    </row>
    <row r="78" spans="2:7" x14ac:dyDescent="0.25">
      <c r="B78" s="182">
        <f t="shared" si="2"/>
        <v>200</v>
      </c>
      <c r="C78" s="182">
        <f t="shared" si="2"/>
        <v>60.96</v>
      </c>
      <c r="D78" s="24">
        <f t="shared" si="1"/>
        <v>1.46</v>
      </c>
      <c r="E78" s="24">
        <f>0.00256*D78*'ENV|In'!$C$56*'ENV|In'!$C$52*'Env|In (Sec.29.5)'!$D$54^2</f>
        <v>3.8917760000000001</v>
      </c>
      <c r="F78" s="193">
        <f t="shared" si="3"/>
        <v>1.3</v>
      </c>
      <c r="G78" s="188">
        <f>E78*'ENV|In'!$M$76*$F$62</f>
        <v>4.3004124800000003</v>
      </c>
    </row>
    <row r="79" spans="2:7" x14ac:dyDescent="0.25">
      <c r="B79" s="182">
        <f t="shared" si="2"/>
        <v>250</v>
      </c>
      <c r="C79" s="182">
        <f t="shared" si="2"/>
        <v>76.2</v>
      </c>
      <c r="D79" s="24">
        <f t="shared" si="1"/>
        <v>1.53</v>
      </c>
      <c r="E79" s="24">
        <f>0.00256*D79*'ENV|In'!$C$56*'ENV|In'!$C$52*'Env|In (Sec.29.5)'!$D$54^2</f>
        <v>4.0783680000000002</v>
      </c>
      <c r="F79" s="193">
        <f t="shared" si="3"/>
        <v>1.3</v>
      </c>
      <c r="G79" s="188">
        <f>E79*'ENV|In'!$M$76*$F$62</f>
        <v>4.5065966400000006</v>
      </c>
    </row>
    <row r="80" spans="2:7" x14ac:dyDescent="0.25">
      <c r="B80" s="182">
        <f t="shared" si="2"/>
        <v>300</v>
      </c>
      <c r="C80" s="182">
        <f t="shared" si="2"/>
        <v>91.44</v>
      </c>
      <c r="D80" s="24">
        <f t="shared" si="1"/>
        <v>1.59</v>
      </c>
      <c r="E80" s="24">
        <f>0.00256*D80*'ENV|In'!$C$56*'ENV|In'!$C$52*'Env|In (Sec.29.5)'!$D$54^2</f>
        <v>4.2383040000000003</v>
      </c>
      <c r="F80" s="193">
        <f t="shared" si="3"/>
        <v>1.3</v>
      </c>
      <c r="G80" s="188">
        <f>E80*'ENV|In'!$M$76*$F$62</f>
        <v>4.6833259199999997</v>
      </c>
    </row>
    <row r="81" spans="2:7" x14ac:dyDescent="0.25">
      <c r="B81" s="182">
        <f t="shared" si="2"/>
        <v>350</v>
      </c>
      <c r="C81" s="182">
        <f t="shared" si="2"/>
        <v>106.68</v>
      </c>
      <c r="D81" s="24">
        <f t="shared" si="1"/>
        <v>1.64</v>
      </c>
      <c r="E81" s="24">
        <f>0.00256*D81*'ENV|In'!$C$56*'ENV|In'!$C$52*'Env|In (Sec.29.5)'!$D$54^2</f>
        <v>4.3715839999999995</v>
      </c>
      <c r="F81" s="193">
        <f t="shared" si="3"/>
        <v>1.3</v>
      </c>
      <c r="G81" s="188">
        <f>E81*'ENV|In'!$M$76*$F$62</f>
        <v>4.8306003199999994</v>
      </c>
    </row>
    <row r="82" spans="2:7" x14ac:dyDescent="0.25">
      <c r="B82" s="182">
        <f t="shared" si="2"/>
        <v>400</v>
      </c>
      <c r="C82" s="182">
        <f t="shared" si="2"/>
        <v>121.92</v>
      </c>
      <c r="D82" s="24">
        <f t="shared" si="1"/>
        <v>1.69</v>
      </c>
      <c r="E82" s="24">
        <f>0.00256*D82*'ENV|In'!$C$56*'ENV|In'!$C$52*'Env|In (Sec.29.5)'!$D$54^2</f>
        <v>4.5048640000000004</v>
      </c>
      <c r="F82" s="193">
        <f t="shared" si="3"/>
        <v>1.3</v>
      </c>
      <c r="G82" s="188">
        <f>E82*'ENV|In'!$M$76*$F$62</f>
        <v>4.97787472</v>
      </c>
    </row>
    <row r="83" spans="2:7" x14ac:dyDescent="0.25">
      <c r="B83" s="182">
        <f t="shared" si="2"/>
        <v>450</v>
      </c>
      <c r="C83" s="182">
        <f t="shared" si="2"/>
        <v>137.16</v>
      </c>
      <c r="D83" s="24">
        <f t="shared" si="1"/>
        <v>1.73</v>
      </c>
      <c r="E83" s="24">
        <f>0.00256*D83*'ENV|In'!$C$56*'ENV|In'!$C$52*'Env|In (Sec.29.5)'!$D$54^2</f>
        <v>4.6114880000000005</v>
      </c>
      <c r="F83" s="193">
        <f t="shared" si="3"/>
        <v>1.3</v>
      </c>
      <c r="G83" s="188">
        <f>E83*'ENV|In'!$M$76*$F$62</f>
        <v>5.0956942400000003</v>
      </c>
    </row>
    <row r="84" spans="2:7" x14ac:dyDescent="0.25">
      <c r="B84" s="184">
        <f t="shared" si="2"/>
        <v>500</v>
      </c>
      <c r="C84" s="184">
        <f t="shared" si="2"/>
        <v>152.4</v>
      </c>
      <c r="D84" s="15">
        <f t="shared" si="1"/>
        <v>1.77</v>
      </c>
      <c r="E84" s="15">
        <f>0.00256*D84*'ENV|In'!$C$56*'ENV|In'!$C$52*'Env|In (Sec.29.5)'!$D$54^2</f>
        <v>4.7181119999999996</v>
      </c>
      <c r="F84" s="194">
        <f t="shared" si="3"/>
        <v>1.3</v>
      </c>
      <c r="G84" s="189">
        <f>E84*'ENV|In'!$M$76*$F$62</f>
        <v>5.2135137599999997</v>
      </c>
    </row>
    <row r="85" spans="2:7" x14ac:dyDescent="0.25">
      <c r="B85" s="102" t="s">
        <v>252</v>
      </c>
    </row>
    <row r="86" spans="2:7" x14ac:dyDescent="0.25">
      <c r="B86" s="104" t="s">
        <v>179</v>
      </c>
    </row>
    <row r="87" spans="2:7" x14ac:dyDescent="0.25">
      <c r="B87" s="104" t="s">
        <v>178</v>
      </c>
    </row>
    <row r="88" spans="2:7" x14ac:dyDescent="0.25">
      <c r="B88" s="104" t="s">
        <v>495</v>
      </c>
    </row>
    <row r="89" spans="2:7" x14ac:dyDescent="0.25">
      <c r="B89" s="104" t="s">
        <v>494</v>
      </c>
    </row>
  </sheetData>
  <sheetProtection selectLockedCells="1"/>
  <mergeCells count="2">
    <mergeCell ref="B13:C14"/>
    <mergeCell ref="B59:C60"/>
  </mergeCells>
  <pageMargins left="0.7" right="0.7" top="0.75" bottom="0.75" header="0.3" footer="0.3"/>
  <pageSetup orientation="portrait" horizontalDpi="1200" verticalDpi="1200" r:id="rId1"/>
  <headerFooter>
    <oddHeader>&amp;LEdward R. Zabala, P.E.
Consulting Engineer</oddHeader>
    <oddFooter>&amp;LFile: &amp;F, Tab: &amp;A-&amp;P/&amp;N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F3337-DC85-49C1-92FF-C5D89892FFC7}">
  <dimension ref="B1:S32"/>
  <sheetViews>
    <sheetView showGridLines="0" workbookViewId="0">
      <selection activeCell="O32" sqref="O32"/>
    </sheetView>
  </sheetViews>
  <sheetFormatPr defaultRowHeight="15" x14ac:dyDescent="0.25"/>
  <cols>
    <col min="1" max="1" width="1.5703125" customWidth="1"/>
    <col min="12" max="12" width="1.5703125" customWidth="1"/>
  </cols>
  <sheetData>
    <row r="1" spans="2:19" x14ac:dyDescent="0.25">
      <c r="B1" s="8" t="s">
        <v>499</v>
      </c>
      <c r="C1" s="1"/>
    </row>
    <row r="2" spans="2:19" x14ac:dyDescent="0.25">
      <c r="B2" s="43" t="s">
        <v>136</v>
      </c>
      <c r="C2" s="44"/>
      <c r="D2" s="174">
        <f>'ENV|In'!N3</f>
        <v>45043</v>
      </c>
      <c r="E2" s="27"/>
      <c r="F2" s="27"/>
      <c r="G2" s="27"/>
      <c r="H2" s="27"/>
    </row>
    <row r="3" spans="2:19" x14ac:dyDescent="0.25">
      <c r="B3" s="40" t="s">
        <v>137</v>
      </c>
      <c r="C3" s="39"/>
      <c r="D3" s="174">
        <f>'ENV|In'!N4</f>
        <v>23044</v>
      </c>
      <c r="E3" s="30"/>
      <c r="F3" s="30"/>
      <c r="G3" s="30"/>
      <c r="H3" s="30"/>
      <c r="M3" s="331" t="s">
        <v>507</v>
      </c>
      <c r="N3" s="326"/>
      <c r="O3" s="326"/>
      <c r="P3" s="326"/>
      <c r="Q3" s="326"/>
      <c r="R3" s="326"/>
      <c r="S3" s="332"/>
    </row>
    <row r="4" spans="2:19" x14ac:dyDescent="0.25">
      <c r="B4" s="40" t="s">
        <v>138</v>
      </c>
      <c r="C4" s="39"/>
      <c r="D4" s="174">
        <f>'ENV|In'!M5</f>
        <v>0</v>
      </c>
      <c r="E4" s="30"/>
      <c r="F4" s="30"/>
      <c r="G4" s="30"/>
      <c r="H4" s="30"/>
      <c r="M4" s="329" t="s">
        <v>398</v>
      </c>
      <c r="N4" s="13" t="s">
        <v>401</v>
      </c>
      <c r="O4" s="13" t="s">
        <v>396</v>
      </c>
      <c r="P4" s="13" t="s">
        <v>400</v>
      </c>
      <c r="Q4" s="13" t="s">
        <v>501</v>
      </c>
      <c r="R4" s="13" t="s">
        <v>502</v>
      </c>
      <c r="S4" s="13" t="s">
        <v>503</v>
      </c>
    </row>
    <row r="5" spans="2:19" x14ac:dyDescent="0.25">
      <c r="M5" s="330"/>
      <c r="N5" s="17" t="s">
        <v>500</v>
      </c>
      <c r="O5" s="17" t="s">
        <v>500</v>
      </c>
      <c r="P5" s="17" t="s">
        <v>500</v>
      </c>
      <c r="Q5" s="17" t="s">
        <v>504</v>
      </c>
      <c r="R5" s="17" t="s">
        <v>504</v>
      </c>
      <c r="S5" s="17" t="s">
        <v>504</v>
      </c>
    </row>
    <row r="6" spans="2:19" x14ac:dyDescent="0.25">
      <c r="B6" s="45" t="s">
        <v>139</v>
      </c>
      <c r="C6" s="1"/>
      <c r="M6" s="16" t="s">
        <v>395</v>
      </c>
      <c r="N6" s="24">
        <v>0</v>
      </c>
      <c r="O6" s="24">
        <v>0</v>
      </c>
      <c r="P6" s="24">
        <f>(D9/1000)/2</f>
        <v>0.25</v>
      </c>
      <c r="Q6" s="24">
        <f>P6*$D$17</f>
        <v>0.75</v>
      </c>
      <c r="R6" s="24">
        <f>P6*$D$17</f>
        <v>0.75</v>
      </c>
      <c r="S6" s="24">
        <v>0</v>
      </c>
    </row>
    <row r="7" spans="2:19" x14ac:dyDescent="0.25">
      <c r="B7" s="30" t="s">
        <v>43</v>
      </c>
      <c r="C7" s="39"/>
      <c r="D7" s="197" t="s">
        <v>44</v>
      </c>
      <c r="E7" s="30" t="s">
        <v>45</v>
      </c>
      <c r="F7" s="53" t="s">
        <v>85</v>
      </c>
      <c r="G7" s="30"/>
      <c r="H7" s="30"/>
      <c r="M7" s="17" t="s">
        <v>394</v>
      </c>
      <c r="N7" s="24">
        <v>0</v>
      </c>
      <c r="O7" s="24">
        <v>0</v>
      </c>
      <c r="P7" s="24">
        <f>(D10*D15/1000)/2</f>
        <v>0.12</v>
      </c>
      <c r="Q7" s="24">
        <f t="shared" ref="Q7:Q8" si="0">P7*$D$17</f>
        <v>0.36</v>
      </c>
      <c r="R7" s="24">
        <f t="shared" ref="R7:R8" si="1">P7*$D$17</f>
        <v>0.36</v>
      </c>
      <c r="S7" s="24">
        <v>0</v>
      </c>
    </row>
    <row r="8" spans="2:19" x14ac:dyDescent="0.25">
      <c r="B8" t="s">
        <v>506</v>
      </c>
      <c r="C8" t="s">
        <v>42</v>
      </c>
      <c r="D8" s="173" t="s">
        <v>400</v>
      </c>
      <c r="F8" s="141" t="s">
        <v>513</v>
      </c>
      <c r="M8" s="17" t="s">
        <v>393</v>
      </c>
      <c r="N8" s="24">
        <v>0</v>
      </c>
      <c r="O8" s="24">
        <v>0</v>
      </c>
      <c r="P8" s="24">
        <f>(D11*D15/1000)/2</f>
        <v>0.18143999999999999</v>
      </c>
      <c r="Q8" s="24">
        <f t="shared" si="0"/>
        <v>0.54431999999999992</v>
      </c>
      <c r="R8" s="24">
        <f t="shared" si="1"/>
        <v>0.54431999999999992</v>
      </c>
      <c r="S8" s="24">
        <v>0</v>
      </c>
    </row>
    <row r="9" spans="2:19" x14ac:dyDescent="0.25">
      <c r="B9" s="1" t="s">
        <v>395</v>
      </c>
      <c r="C9" s="1" t="s">
        <v>42</v>
      </c>
      <c r="D9" s="195">
        <v>500</v>
      </c>
      <c r="E9" t="s">
        <v>505</v>
      </c>
      <c r="F9" s="141" t="s">
        <v>514</v>
      </c>
      <c r="M9" s="17" t="s">
        <v>439</v>
      </c>
      <c r="N9" s="24">
        <f>(D12*D16/1000)/2</f>
        <v>3.2435232959999998E-2</v>
      </c>
      <c r="O9" s="24">
        <v>0</v>
      </c>
      <c r="P9" s="24">
        <v>0</v>
      </c>
      <c r="Q9" s="24">
        <v>0</v>
      </c>
      <c r="R9" s="24">
        <v>0</v>
      </c>
      <c r="S9" s="24">
        <f>N9*$D$17</f>
        <v>9.7305698879999986E-2</v>
      </c>
    </row>
    <row r="10" spans="2:19" x14ac:dyDescent="0.25">
      <c r="B10" s="1" t="s">
        <v>394</v>
      </c>
      <c r="C10" s="1" t="s">
        <v>42</v>
      </c>
      <c r="D10" s="195">
        <v>20</v>
      </c>
      <c r="E10" t="s">
        <v>204</v>
      </c>
      <c r="F10" s="141" t="s">
        <v>515</v>
      </c>
      <c r="M10" s="17" t="s">
        <v>440</v>
      </c>
      <c r="N10" s="24">
        <v>0</v>
      </c>
      <c r="O10" s="24">
        <f>(D13*D16/1000)/2</f>
        <v>3.2435232959999998E-2</v>
      </c>
      <c r="P10" s="24">
        <v>0</v>
      </c>
      <c r="Q10" s="24">
        <v>0</v>
      </c>
      <c r="R10" s="24">
        <v>0</v>
      </c>
      <c r="S10" s="24">
        <f>O10*$D$17</f>
        <v>9.7305698879999986E-2</v>
      </c>
    </row>
    <row r="11" spans="2:19" ht="18" x14ac:dyDescent="0.25">
      <c r="B11" s="1" t="s">
        <v>202</v>
      </c>
      <c r="C11" s="1" t="s">
        <v>42</v>
      </c>
      <c r="D11" s="12">
        <f>'ENV|In'!M94</f>
        <v>30.240000000000002</v>
      </c>
      <c r="E11" t="s">
        <v>204</v>
      </c>
      <c r="F11" s="141" t="s">
        <v>516</v>
      </c>
      <c r="M11" s="17" t="s">
        <v>392</v>
      </c>
      <c r="N11" s="24">
        <f>D14/2</f>
        <v>2.7136E-4</v>
      </c>
      <c r="O11" s="24">
        <v>0</v>
      </c>
      <c r="P11" s="24">
        <v>0</v>
      </c>
      <c r="Q11" s="24">
        <v>0</v>
      </c>
      <c r="R11" s="24">
        <v>0</v>
      </c>
      <c r="S11" s="24">
        <f t="shared" ref="S11" si="2">N11*$D$17</f>
        <v>8.1408000000000001E-4</v>
      </c>
    </row>
    <row r="12" spans="2:19" x14ac:dyDescent="0.25">
      <c r="B12" s="1" t="str">
        <f>IF($D$8="Z","WLX","WLZ")</f>
        <v>WLX</v>
      </c>
      <c r="C12" s="1" t="s">
        <v>42</v>
      </c>
      <c r="D12" s="12">
        <f>'Env|In (Sec.29.5)'!G16</f>
        <v>27.029360799999996</v>
      </c>
      <c r="E12" t="s">
        <v>204</v>
      </c>
      <c r="F12" s="141" t="s">
        <v>517</v>
      </c>
      <c r="G12" s="104" t="s">
        <v>509</v>
      </c>
      <c r="M12" s="14" t="s">
        <v>391</v>
      </c>
      <c r="N12" s="15">
        <v>0</v>
      </c>
      <c r="O12" s="15">
        <f>D14/2</f>
        <v>2.7136E-4</v>
      </c>
      <c r="P12" s="15">
        <v>0</v>
      </c>
      <c r="Q12" s="15">
        <v>0</v>
      </c>
      <c r="R12" s="15">
        <v>0</v>
      </c>
      <c r="S12" s="15">
        <f>O12*$D$17</f>
        <v>8.1408000000000001E-4</v>
      </c>
    </row>
    <row r="13" spans="2:19" x14ac:dyDescent="0.25">
      <c r="B13" s="1" t="str">
        <f>IF($D$8="Z","WLY","WLX")</f>
        <v>WLY</v>
      </c>
      <c r="C13" s="1" t="s">
        <v>42</v>
      </c>
      <c r="D13" s="12">
        <f>'Env|In (Sec.29.5)'!G16</f>
        <v>27.029360799999996</v>
      </c>
      <c r="E13" t="s">
        <v>204</v>
      </c>
      <c r="F13" s="141" t="s">
        <v>517</v>
      </c>
      <c r="G13" s="104" t="s">
        <v>509</v>
      </c>
    </row>
    <row r="14" spans="2:19" ht="18" x14ac:dyDescent="0.25">
      <c r="B14" s="1" t="s">
        <v>467</v>
      </c>
      <c r="C14" s="1" t="s">
        <v>42</v>
      </c>
      <c r="D14" s="198">
        <f>'ENV|In (Ch.13)'!D16</f>
        <v>5.4272000000000001E-4</v>
      </c>
      <c r="E14" t="s">
        <v>472</v>
      </c>
      <c r="F14" s="142" t="s">
        <v>518</v>
      </c>
      <c r="G14" t="s">
        <v>478</v>
      </c>
      <c r="M14" s="331" t="s">
        <v>508</v>
      </c>
      <c r="N14" s="326"/>
      <c r="O14" s="326"/>
      <c r="P14" s="326"/>
      <c r="Q14" s="326"/>
      <c r="R14" s="326"/>
      <c r="S14" s="332"/>
    </row>
    <row r="15" spans="2:19" ht="18" x14ac:dyDescent="0.25">
      <c r="B15" s="1" t="s">
        <v>510</v>
      </c>
      <c r="C15" s="1" t="s">
        <v>42</v>
      </c>
      <c r="D15" s="6">
        <f>1*3*4</f>
        <v>12</v>
      </c>
      <c r="E15" t="s">
        <v>511</v>
      </c>
      <c r="F15" s="141" t="s">
        <v>519</v>
      </c>
      <c r="M15" s="329" t="s">
        <v>398</v>
      </c>
      <c r="N15" s="13" t="s">
        <v>401</v>
      </c>
      <c r="O15" s="13" t="s">
        <v>396</v>
      </c>
      <c r="P15" s="13" t="s">
        <v>400</v>
      </c>
      <c r="Q15" s="13" t="s">
        <v>501</v>
      </c>
      <c r="R15" s="13" t="s">
        <v>502</v>
      </c>
      <c r="S15" s="13" t="s">
        <v>503</v>
      </c>
    </row>
    <row r="16" spans="2:19" ht="18" x14ac:dyDescent="0.25">
      <c r="B16" s="1" t="s">
        <v>512</v>
      </c>
      <c r="C16" s="1" t="s">
        <v>42</v>
      </c>
      <c r="D16" s="6">
        <f>0.1*3*4*2</f>
        <v>2.4000000000000004</v>
      </c>
      <c r="E16" t="s">
        <v>511</v>
      </c>
      <c r="F16" s="141" t="s">
        <v>520</v>
      </c>
      <c r="M16" s="330"/>
      <c r="N16" s="14" t="s">
        <v>500</v>
      </c>
      <c r="O16" s="14" t="s">
        <v>500</v>
      </c>
      <c r="P16" s="14" t="s">
        <v>500</v>
      </c>
      <c r="Q16" s="14" t="s">
        <v>504</v>
      </c>
      <c r="R16" s="14" t="s">
        <v>504</v>
      </c>
      <c r="S16" s="14" t="s">
        <v>504</v>
      </c>
    </row>
    <row r="17" spans="2:19" x14ac:dyDescent="0.25">
      <c r="B17" s="1" t="s">
        <v>521</v>
      </c>
      <c r="C17" s="1" t="s">
        <v>42</v>
      </c>
      <c r="D17" s="6">
        <v>3</v>
      </c>
      <c r="E17" t="s">
        <v>87</v>
      </c>
      <c r="F17" s="141" t="s">
        <v>522</v>
      </c>
      <c r="M17" s="16" t="s">
        <v>395</v>
      </c>
      <c r="N17" s="186">
        <f>O6</f>
        <v>0</v>
      </c>
      <c r="O17" s="186">
        <f>P6</f>
        <v>0.25</v>
      </c>
      <c r="P17" s="186">
        <f>N6</f>
        <v>0</v>
      </c>
      <c r="Q17" s="186">
        <f>R6</f>
        <v>0.75</v>
      </c>
      <c r="R17" s="186">
        <f>S6</f>
        <v>0</v>
      </c>
      <c r="S17" s="186">
        <f>Q6</f>
        <v>0.75</v>
      </c>
    </row>
    <row r="18" spans="2:19" x14ac:dyDescent="0.25">
      <c r="B18" s="1" t="s">
        <v>524</v>
      </c>
      <c r="C18" s="1" t="s">
        <v>42</v>
      </c>
      <c r="D18" s="143" t="s">
        <v>401</v>
      </c>
      <c r="F18" s="141" t="s">
        <v>523</v>
      </c>
      <c r="M18" s="17" t="s">
        <v>394</v>
      </c>
      <c r="N18" s="24">
        <f t="shared" ref="N18:N23" si="3">O7</f>
        <v>0</v>
      </c>
      <c r="O18" s="24">
        <f t="shared" ref="O18:O23" si="4">P7</f>
        <v>0.12</v>
      </c>
      <c r="P18" s="24">
        <f t="shared" ref="P18:P23" si="5">N7</f>
        <v>0</v>
      </c>
      <c r="Q18" s="24">
        <f t="shared" ref="Q18:Q23" si="6">R7</f>
        <v>0.36</v>
      </c>
      <c r="R18" s="24">
        <f t="shared" ref="R18:R23" si="7">S7</f>
        <v>0</v>
      </c>
      <c r="S18" s="24">
        <f t="shared" ref="S18:S23" si="8">Q7</f>
        <v>0.36</v>
      </c>
    </row>
    <row r="19" spans="2:19" x14ac:dyDescent="0.25">
      <c r="M19" s="17" t="s">
        <v>393</v>
      </c>
      <c r="N19" s="24">
        <f t="shared" si="3"/>
        <v>0</v>
      </c>
      <c r="O19" s="24">
        <f t="shared" si="4"/>
        <v>0.18143999999999999</v>
      </c>
      <c r="P19" s="24">
        <f t="shared" si="5"/>
        <v>0</v>
      </c>
      <c r="Q19" s="24">
        <f t="shared" si="6"/>
        <v>0.54431999999999992</v>
      </c>
      <c r="R19" s="24">
        <f t="shared" si="7"/>
        <v>0</v>
      </c>
      <c r="S19" s="24">
        <f t="shared" si="8"/>
        <v>0.54431999999999992</v>
      </c>
    </row>
    <row r="20" spans="2:19" x14ac:dyDescent="0.25">
      <c r="M20" s="17" t="s">
        <v>441</v>
      </c>
      <c r="N20" s="24">
        <f t="shared" si="3"/>
        <v>0</v>
      </c>
      <c r="O20" s="24">
        <f t="shared" si="4"/>
        <v>0</v>
      </c>
      <c r="P20" s="24">
        <f t="shared" si="5"/>
        <v>3.2435232959999998E-2</v>
      </c>
      <c r="Q20" s="24">
        <f t="shared" si="6"/>
        <v>0</v>
      </c>
      <c r="R20" s="24">
        <f t="shared" si="7"/>
        <v>9.7305698879999986E-2</v>
      </c>
      <c r="S20" s="24">
        <f t="shared" si="8"/>
        <v>0</v>
      </c>
    </row>
    <row r="21" spans="2:19" x14ac:dyDescent="0.25">
      <c r="M21" s="17" t="s">
        <v>439</v>
      </c>
      <c r="N21" s="24">
        <f t="shared" si="3"/>
        <v>3.2435232959999998E-2</v>
      </c>
      <c r="O21" s="24">
        <f t="shared" si="4"/>
        <v>0</v>
      </c>
      <c r="P21" s="24">
        <f t="shared" si="5"/>
        <v>0</v>
      </c>
      <c r="Q21" s="24">
        <f t="shared" si="6"/>
        <v>0</v>
      </c>
      <c r="R21" s="24">
        <f t="shared" si="7"/>
        <v>9.7305698879999986E-2</v>
      </c>
      <c r="S21" s="24">
        <f t="shared" si="8"/>
        <v>0</v>
      </c>
    </row>
    <row r="22" spans="2:19" x14ac:dyDescent="0.25">
      <c r="M22" s="17" t="s">
        <v>399</v>
      </c>
      <c r="N22" s="24">
        <f t="shared" si="3"/>
        <v>0</v>
      </c>
      <c r="O22" s="24">
        <f t="shared" si="4"/>
        <v>0</v>
      </c>
      <c r="P22" s="24">
        <f t="shared" si="5"/>
        <v>2.7136E-4</v>
      </c>
      <c r="Q22" s="24">
        <f t="shared" si="6"/>
        <v>0</v>
      </c>
      <c r="R22" s="24">
        <f t="shared" si="7"/>
        <v>8.1408000000000001E-4</v>
      </c>
      <c r="S22" s="24">
        <f t="shared" si="8"/>
        <v>0</v>
      </c>
    </row>
    <row r="23" spans="2:19" x14ac:dyDescent="0.25">
      <c r="B23" s="331" t="str">
        <f>IF(D8="Z",M3,M14)</f>
        <v>LOADS &amp; REACTIONS @ SINGLE CONTACT POINT FOR GANGWAY (Z vertical)</v>
      </c>
      <c r="C23" s="326"/>
      <c r="D23" s="326"/>
      <c r="E23" s="326"/>
      <c r="F23" s="326"/>
      <c r="G23" s="326"/>
      <c r="H23" s="332"/>
      <c r="M23" s="14" t="s">
        <v>392</v>
      </c>
      <c r="N23" s="15">
        <f t="shared" si="3"/>
        <v>2.7136E-4</v>
      </c>
      <c r="O23" s="15">
        <f t="shared" si="4"/>
        <v>0</v>
      </c>
      <c r="P23" s="15">
        <f t="shared" si="5"/>
        <v>0</v>
      </c>
      <c r="Q23" s="15">
        <f t="shared" si="6"/>
        <v>0</v>
      </c>
      <c r="R23" s="15">
        <f t="shared" si="7"/>
        <v>8.1408000000000001E-4</v>
      </c>
      <c r="S23" s="15">
        <f t="shared" si="8"/>
        <v>0</v>
      </c>
    </row>
    <row r="24" spans="2:19" x14ac:dyDescent="0.25">
      <c r="B24" s="329" t="s">
        <v>398</v>
      </c>
      <c r="C24" s="13" t="str">
        <f t="shared" ref="C24:C32" si="9">IF($D$8="Z",N4,N15)</f>
        <v>X</v>
      </c>
      <c r="D24" s="13" t="str">
        <f t="shared" ref="D24:D32" si="10">IF($D$8="Z",O4,O15)</f>
        <v>Y</v>
      </c>
      <c r="E24" s="13" t="str">
        <f t="shared" ref="E24:E32" si="11">IF($D$8="Z",P4,P15)</f>
        <v>Z</v>
      </c>
      <c r="F24" s="13" t="str">
        <f t="shared" ref="F24:F32" si="12">IF($D$8="Z",Q4,Q15)</f>
        <v>MX</v>
      </c>
      <c r="G24" s="13" t="str">
        <f t="shared" ref="G24:G32" si="13">IF($D$8="Z",R4,R15)</f>
        <v>MY</v>
      </c>
      <c r="H24" s="13" t="str">
        <f t="shared" ref="H24:H32" si="14">IF($D$8="Z",S4,S15)</f>
        <v>MZ</v>
      </c>
    </row>
    <row r="25" spans="2:19" x14ac:dyDescent="0.25">
      <c r="B25" s="330"/>
      <c r="C25" s="14" t="str">
        <f t="shared" si="9"/>
        <v>[k]</v>
      </c>
      <c r="D25" s="14" t="str">
        <f t="shared" si="10"/>
        <v>[k]</v>
      </c>
      <c r="E25" s="14" t="str">
        <f t="shared" si="11"/>
        <v>[k]</v>
      </c>
      <c r="F25" s="14" t="str">
        <f t="shared" si="12"/>
        <v>[k-ft]</v>
      </c>
      <c r="G25" s="14" t="str">
        <f t="shared" si="13"/>
        <v>[k-ft]</v>
      </c>
      <c r="H25" s="14" t="str">
        <f t="shared" si="14"/>
        <v>[k-ft]</v>
      </c>
    </row>
    <row r="26" spans="2:19" x14ac:dyDescent="0.25">
      <c r="B26" s="13" t="str">
        <f t="shared" ref="B26:B32" si="15">IF($D$8="Z",M6,M17)</f>
        <v>DL</v>
      </c>
      <c r="C26" s="16">
        <f t="shared" si="9"/>
        <v>0</v>
      </c>
      <c r="D26" s="16">
        <f t="shared" si="10"/>
        <v>0</v>
      </c>
      <c r="E26" s="16">
        <f t="shared" si="11"/>
        <v>0.25</v>
      </c>
      <c r="F26" s="16">
        <f t="shared" si="12"/>
        <v>0.75</v>
      </c>
      <c r="G26" s="16">
        <f t="shared" si="13"/>
        <v>0.75</v>
      </c>
      <c r="H26" s="16">
        <f t="shared" si="14"/>
        <v>0</v>
      </c>
    </row>
    <row r="27" spans="2:19" x14ac:dyDescent="0.25">
      <c r="B27" s="17" t="str">
        <f t="shared" si="15"/>
        <v>LL</v>
      </c>
      <c r="C27" s="17">
        <f t="shared" si="9"/>
        <v>0</v>
      </c>
      <c r="D27" s="17">
        <f t="shared" si="10"/>
        <v>0</v>
      </c>
      <c r="E27" s="17">
        <f t="shared" si="11"/>
        <v>0.12</v>
      </c>
      <c r="F27" s="17">
        <f t="shared" si="12"/>
        <v>0.36</v>
      </c>
      <c r="G27" s="17">
        <f t="shared" si="13"/>
        <v>0.36</v>
      </c>
      <c r="H27" s="17">
        <f t="shared" si="14"/>
        <v>0</v>
      </c>
    </row>
    <row r="28" spans="2:19" x14ac:dyDescent="0.25">
      <c r="B28" s="17" t="str">
        <f t="shared" si="15"/>
        <v>SL</v>
      </c>
      <c r="C28" s="17">
        <f t="shared" si="9"/>
        <v>0</v>
      </c>
      <c r="D28" s="17">
        <f t="shared" si="10"/>
        <v>0</v>
      </c>
      <c r="E28" s="17">
        <f t="shared" si="11"/>
        <v>0.18143999999999999</v>
      </c>
      <c r="F28" s="17">
        <f t="shared" si="12"/>
        <v>0.54431999999999992</v>
      </c>
      <c r="G28" s="17">
        <f t="shared" si="13"/>
        <v>0.54431999999999992</v>
      </c>
      <c r="H28" s="17">
        <f t="shared" si="14"/>
        <v>0</v>
      </c>
    </row>
    <row r="29" spans="2:19" x14ac:dyDescent="0.25">
      <c r="B29" s="17" t="str">
        <f t="shared" si="15"/>
        <v>WLX</v>
      </c>
      <c r="C29" s="17">
        <f t="shared" si="9"/>
        <v>3.2435232959999998E-2</v>
      </c>
      <c r="D29" s="17">
        <f t="shared" si="10"/>
        <v>0</v>
      </c>
      <c r="E29" s="17">
        <f t="shared" si="11"/>
        <v>0</v>
      </c>
      <c r="F29" s="17">
        <f t="shared" si="12"/>
        <v>0</v>
      </c>
      <c r="G29" s="17">
        <f t="shared" si="13"/>
        <v>0</v>
      </c>
      <c r="H29" s="17">
        <f t="shared" si="14"/>
        <v>9.7305698879999986E-2</v>
      </c>
    </row>
    <row r="30" spans="2:19" x14ac:dyDescent="0.25">
      <c r="B30" s="17" t="str">
        <f t="shared" si="15"/>
        <v>WLY</v>
      </c>
      <c r="C30" s="17">
        <f t="shared" si="9"/>
        <v>0</v>
      </c>
      <c r="D30" s="17">
        <f t="shared" si="10"/>
        <v>3.2435232959999998E-2</v>
      </c>
      <c r="E30" s="17">
        <f t="shared" si="11"/>
        <v>0</v>
      </c>
      <c r="F30" s="17">
        <f t="shared" si="12"/>
        <v>0</v>
      </c>
      <c r="G30" s="17">
        <f t="shared" si="13"/>
        <v>0</v>
      </c>
      <c r="H30" s="17">
        <f t="shared" si="14"/>
        <v>9.7305698879999986E-2</v>
      </c>
    </row>
    <row r="31" spans="2:19" x14ac:dyDescent="0.25">
      <c r="B31" s="17" t="str">
        <f t="shared" si="15"/>
        <v>ELX</v>
      </c>
      <c r="C31" s="17">
        <f t="shared" si="9"/>
        <v>2.7136E-4</v>
      </c>
      <c r="D31" s="17">
        <f t="shared" si="10"/>
        <v>0</v>
      </c>
      <c r="E31" s="17">
        <f t="shared" si="11"/>
        <v>0</v>
      </c>
      <c r="F31" s="17">
        <f t="shared" si="12"/>
        <v>0</v>
      </c>
      <c r="G31" s="17">
        <f t="shared" si="13"/>
        <v>0</v>
      </c>
      <c r="H31" s="17">
        <f t="shared" si="14"/>
        <v>8.1408000000000001E-4</v>
      </c>
    </row>
    <row r="32" spans="2:19" x14ac:dyDescent="0.25">
      <c r="B32" s="14" t="str">
        <f t="shared" si="15"/>
        <v>ELY</v>
      </c>
      <c r="C32" s="14">
        <f t="shared" si="9"/>
        <v>0</v>
      </c>
      <c r="D32" s="14">
        <f t="shared" si="10"/>
        <v>2.7136E-4</v>
      </c>
      <c r="E32" s="14">
        <f t="shared" si="11"/>
        <v>0</v>
      </c>
      <c r="F32" s="14">
        <f t="shared" si="12"/>
        <v>0</v>
      </c>
      <c r="G32" s="14">
        <f t="shared" si="13"/>
        <v>0</v>
      </c>
      <c r="H32" s="14">
        <f t="shared" si="14"/>
        <v>8.1408000000000001E-4</v>
      </c>
    </row>
  </sheetData>
  <sheetProtection selectLockedCells="1"/>
  <mergeCells count="6">
    <mergeCell ref="M4:M5"/>
    <mergeCell ref="M3:S3"/>
    <mergeCell ref="B23:H23"/>
    <mergeCell ref="B24:B25"/>
    <mergeCell ref="M14:S14"/>
    <mergeCell ref="M15:M16"/>
  </mergeCells>
  <dataValidations count="1">
    <dataValidation type="list" allowBlank="1" showInputMessage="1" showErrorMessage="1" sqref="D8" xr:uid="{FAF4FD30-650A-459B-96D5-B759A7FB6878}">
      <formula1>"Y,Z"</formula1>
    </dataValidation>
  </dataValidations>
  <pageMargins left="0.7" right="0.7" top="0.75" bottom="0.75" header="0.3" footer="0.3"/>
  <pageSetup orientation="portrait" horizontalDpi="1200" verticalDpi="1200" r:id="rId1"/>
  <headerFooter>
    <oddFooter>&amp;LFile: &amp;F, Tab: &amp;A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6BF0D-F951-4558-9D2D-89BDD518CB73}">
  <dimension ref="B2:E20"/>
  <sheetViews>
    <sheetView showGridLines="0" workbookViewId="0"/>
  </sheetViews>
  <sheetFormatPr defaultRowHeight="15" x14ac:dyDescent="0.25"/>
  <cols>
    <col min="1" max="1" width="1.7109375" customWidth="1"/>
  </cols>
  <sheetData>
    <row r="2" spans="2:5" x14ac:dyDescent="0.25">
      <c r="B2" s="121" t="s">
        <v>424</v>
      </c>
      <c r="C2" s="10"/>
      <c r="D2" s="10"/>
      <c r="E2" s="10"/>
    </row>
    <row r="3" spans="2:5" x14ac:dyDescent="0.25">
      <c r="B3" s="27" t="s">
        <v>425</v>
      </c>
      <c r="C3" s="27"/>
      <c r="D3" s="27"/>
      <c r="E3" s="27"/>
    </row>
    <row r="4" spans="2:5" x14ac:dyDescent="0.25">
      <c r="B4" s="30" t="s">
        <v>426</v>
      </c>
      <c r="C4" s="30"/>
      <c r="D4" s="30"/>
      <c r="E4" s="30"/>
    </row>
    <row r="5" spans="2:5" x14ac:dyDescent="0.25">
      <c r="B5" s="30" t="s">
        <v>427</v>
      </c>
      <c r="C5" s="30"/>
      <c r="D5" s="30"/>
      <c r="E5" s="30"/>
    </row>
    <row r="6" spans="2:5" x14ac:dyDescent="0.25">
      <c r="B6" s="30" t="s">
        <v>428</v>
      </c>
      <c r="C6" s="30"/>
      <c r="D6" s="30"/>
      <c r="E6" s="30"/>
    </row>
    <row r="7" spans="2:5" x14ac:dyDescent="0.25">
      <c r="B7" s="30" t="s">
        <v>429</v>
      </c>
      <c r="C7" s="30"/>
      <c r="D7" s="30"/>
      <c r="E7" s="30"/>
    </row>
    <row r="8" spans="2:5" x14ac:dyDescent="0.25">
      <c r="B8" s="30" t="s">
        <v>430</v>
      </c>
      <c r="C8" s="30"/>
      <c r="D8" s="30"/>
      <c r="E8" s="30"/>
    </row>
    <row r="9" spans="2:5" x14ac:dyDescent="0.25">
      <c r="B9" s="30" t="s">
        <v>431</v>
      </c>
      <c r="C9" s="30"/>
      <c r="D9" s="30"/>
      <c r="E9" s="30"/>
    </row>
    <row r="10" spans="2:5" x14ac:dyDescent="0.25">
      <c r="B10" s="34" t="s">
        <v>432</v>
      </c>
      <c r="C10" s="34"/>
      <c r="D10" s="34"/>
      <c r="E10" s="34"/>
    </row>
    <row r="12" spans="2:5" x14ac:dyDescent="0.25">
      <c r="B12" s="121" t="s">
        <v>433</v>
      </c>
      <c r="C12" s="10"/>
      <c r="D12" s="10"/>
      <c r="E12" s="10"/>
    </row>
    <row r="13" spans="2:5" x14ac:dyDescent="0.25">
      <c r="B13" s="27" t="s">
        <v>425</v>
      </c>
      <c r="C13" s="27"/>
      <c r="D13" s="27"/>
      <c r="E13" s="27"/>
    </row>
    <row r="14" spans="2:5" x14ac:dyDescent="0.25">
      <c r="B14" s="30" t="s">
        <v>426</v>
      </c>
      <c r="C14" s="30"/>
      <c r="D14" s="30"/>
      <c r="E14" s="30"/>
    </row>
    <row r="15" spans="2:5" x14ac:dyDescent="0.25">
      <c r="B15" s="30" t="s">
        <v>434</v>
      </c>
      <c r="C15" s="30"/>
      <c r="D15" s="30"/>
      <c r="E15" s="30"/>
    </row>
    <row r="16" spans="2:5" x14ac:dyDescent="0.25">
      <c r="B16" s="30" t="s">
        <v>435</v>
      </c>
      <c r="C16" s="30"/>
      <c r="D16" s="30"/>
      <c r="E16" s="30"/>
    </row>
    <row r="17" spans="2:5" x14ac:dyDescent="0.25">
      <c r="B17" s="30" t="s">
        <v>436</v>
      </c>
      <c r="C17" s="30"/>
      <c r="D17" s="30"/>
      <c r="E17" s="30"/>
    </row>
    <row r="18" spans="2:5" x14ac:dyDescent="0.25">
      <c r="B18" s="30" t="s">
        <v>437</v>
      </c>
      <c r="C18" s="30"/>
      <c r="D18" s="30"/>
      <c r="E18" s="30"/>
    </row>
    <row r="19" spans="2:5" x14ac:dyDescent="0.25">
      <c r="B19" s="30" t="s">
        <v>438</v>
      </c>
      <c r="C19" s="30"/>
      <c r="D19" s="30"/>
      <c r="E19" s="30"/>
    </row>
    <row r="20" spans="2:5" x14ac:dyDescent="0.25">
      <c r="B20" s="34" t="s">
        <v>432</v>
      </c>
      <c r="C20" s="34"/>
      <c r="D20" s="34"/>
      <c r="E20" s="34"/>
    </row>
  </sheetData>
  <sheetProtection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2AD134380FC7949BAAB4C9D19411734" ma:contentTypeVersion="11" ma:contentTypeDescription="Create a new document." ma:contentTypeScope="" ma:versionID="1488391db1b534a252e53fc0e48f7e4a">
  <xsd:schema xmlns:xsd="http://www.w3.org/2001/XMLSchema" xmlns:xs="http://www.w3.org/2001/XMLSchema" xmlns:p="http://schemas.microsoft.com/office/2006/metadata/properties" xmlns:ns2="c0eda0f5-aefb-41db-8e6e-6f2989d108f6" xmlns:ns3="48fad268-f74f-4286-976e-c9a1a25f19cd" targetNamespace="http://schemas.microsoft.com/office/2006/metadata/properties" ma:root="true" ma:fieldsID="8c38b29570d5c9c3c748faffbfd3aaa0" ns2:_="" ns3:_="">
    <xsd:import namespace="c0eda0f5-aefb-41db-8e6e-6f2989d108f6"/>
    <xsd:import namespace="48fad268-f74f-4286-976e-c9a1a25f19c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da0f5-aefb-41db-8e6e-6f2989d108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45dc1a6-df43-43f2-a114-a2b73cb2d420"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8fad268-f74f-4286-976e-c9a1a25f19c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17bdcd4-0001-4897-a2aa-d08d769a1927}" ma:internalName="TaxCatchAll" ma:showField="CatchAllData" ma:web="48fad268-f74f-4286-976e-c9a1a25f19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77DB6F-5932-4C3A-9854-52D071A20A4D}">
  <ds:schemaRefs>
    <ds:schemaRef ds:uri="http://schemas.microsoft.com/sharepoint/v3/contenttype/forms"/>
  </ds:schemaRefs>
</ds:datastoreItem>
</file>

<file path=customXml/itemProps2.xml><?xml version="1.0" encoding="utf-8"?>
<ds:datastoreItem xmlns:ds="http://schemas.openxmlformats.org/officeDocument/2006/customXml" ds:itemID="{A350EFDE-59EF-4382-B9FA-1346911BF4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da0f5-aefb-41db-8e6e-6f2989d108f6"/>
    <ds:schemaRef ds:uri="48fad268-f74f-4286-976e-c9a1a25f19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Version</vt:lpstr>
      <vt:lpstr>ENV|In</vt:lpstr>
      <vt:lpstr>ENV|In (Ch.13)</vt:lpstr>
      <vt:lpstr>ENV|out|DC</vt:lpstr>
      <vt:lpstr>Loads-Gravity</vt:lpstr>
      <vt:lpstr>I|Wind</vt:lpstr>
      <vt:lpstr>Env|In (Sec.29.5)</vt:lpstr>
      <vt:lpstr>Gangway</vt:lpstr>
      <vt:lpstr>Codes</vt:lpstr>
      <vt:lpstr>Interpolate</vt:lpstr>
      <vt:lpstr>'ENV|In (Ch.13)'!Print_Area</vt:lpstr>
      <vt:lpstr>Gangway!Print_Area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Zabala</dc:creator>
  <cp:lastModifiedBy>Edward Zabala</cp:lastModifiedBy>
  <cp:lastPrinted>2021-08-23T03:10:55Z</cp:lastPrinted>
  <dcterms:created xsi:type="dcterms:W3CDTF">2016-06-28T02:02:30Z</dcterms:created>
  <dcterms:modified xsi:type="dcterms:W3CDTF">2023-04-27T18:35:09Z</dcterms:modified>
</cp:coreProperties>
</file>